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\Infrastructure Tax\Tax Oversight Committee Minutes &amp; Agendas\2018 April Tax Oversight Committee\"/>
    </mc:Choice>
  </mc:AlternateContent>
  <bookViews>
    <workbookView xWindow="0" yWindow="0" windowWidth="30720" windowHeight="13440" activeTab="3"/>
  </bookViews>
  <sheets>
    <sheet name="Sheet2" sheetId="6" r:id="rId1"/>
    <sheet name="fo rpower point fy16" sheetId="5" r:id="rId2"/>
    <sheet name="102" sheetId="4" r:id="rId3"/>
    <sheet name="chart for memo fy18" sheetId="8" r:id="rId4"/>
    <sheet name="fy18 update" sheetId="7" r:id="rId5"/>
  </sheets>
  <externalReferences>
    <externalReference r:id="rId6"/>
  </externalReferences>
  <definedNames>
    <definedName name="_xlnm.Print_Area" localSheetId="2">'102'!$A$1:$K$72</definedName>
  </definedNames>
  <calcPr calcId="162913"/>
</workbook>
</file>

<file path=xl/calcChain.xml><?xml version="1.0" encoding="utf-8"?>
<calcChain xmlns="http://schemas.openxmlformats.org/spreadsheetml/2006/main">
  <c r="C40" i="7" l="1"/>
  <c r="C39" i="7"/>
  <c r="F31" i="5" l="1"/>
  <c r="F27" i="5"/>
  <c r="F7" i="5"/>
  <c r="F29" i="5" l="1"/>
  <c r="F33" i="5" s="1"/>
  <c r="C37" i="7" l="1"/>
  <c r="C17" i="8" l="1"/>
  <c r="M71" i="4"/>
  <c r="K71" i="4"/>
  <c r="I71" i="4"/>
  <c r="G71" i="4"/>
  <c r="P60" i="4"/>
  <c r="P56" i="4"/>
  <c r="P54" i="4"/>
  <c r="O54" i="4"/>
  <c r="I54" i="4"/>
  <c r="G54" i="4"/>
  <c r="E54" i="4"/>
  <c r="P52" i="4"/>
  <c r="O52" i="4"/>
  <c r="K52" i="4"/>
  <c r="I52" i="4"/>
  <c r="G52" i="4"/>
  <c r="E52" i="4"/>
  <c r="M36" i="4"/>
  <c r="M52" i="4" s="1"/>
  <c r="M54" i="4" s="1"/>
  <c r="P14" i="4"/>
  <c r="O14" i="4"/>
  <c r="M14" i="4"/>
  <c r="K14" i="4"/>
  <c r="K54" i="4" s="1"/>
  <c r="I14" i="4"/>
  <c r="G14" i="4"/>
  <c r="E14" i="4"/>
  <c r="O7" i="4"/>
  <c r="O56" i="4" s="1"/>
  <c r="G3" i="4"/>
  <c r="O60" i="4" l="1"/>
  <c r="M7" i="4"/>
  <c r="M56" i="4" s="1"/>
  <c r="M60" i="4" l="1"/>
  <c r="K7" i="4"/>
  <c r="K56" i="4" s="1"/>
  <c r="K60" i="4" l="1"/>
  <c r="I7" i="4"/>
  <c r="I56" i="4" s="1"/>
  <c r="G7" i="4" l="1"/>
  <c r="G56" i="4" s="1"/>
  <c r="E7" i="4"/>
  <c r="E56" i="4" s="1"/>
  <c r="E60" i="4" s="1"/>
  <c r="I60" i="4"/>
  <c r="G73" i="4" l="1"/>
  <c r="G60" i="4"/>
  <c r="B41" i="7" l="1"/>
  <c r="C41" i="7"/>
  <c r="D40" i="7"/>
  <c r="D39" i="7"/>
  <c r="D38" i="7"/>
  <c r="D37" i="7"/>
  <c r="D36" i="7"/>
  <c r="D35" i="7"/>
  <c r="C7" i="8"/>
  <c r="D41" i="7" l="1"/>
  <c r="C19" i="8"/>
  <c r="C23" i="8" s="1"/>
  <c r="N6" i="6"/>
  <c r="N7" i="6"/>
  <c r="P7" i="6" s="1"/>
  <c r="P6" i="6"/>
  <c r="B51" i="6" l="1"/>
  <c r="B53" i="6" s="1"/>
  <c r="G30" i="6"/>
  <c r="E30" i="6"/>
  <c r="G29" i="6"/>
  <c r="E29" i="6"/>
  <c r="F22" i="6"/>
  <c r="H12" i="6"/>
  <c r="H14" i="6" s="1"/>
  <c r="I14" i="6" s="1"/>
  <c r="D12" i="6"/>
  <c r="E11" i="6"/>
  <c r="G11" i="6" s="1"/>
  <c r="I11" i="6" s="1"/>
  <c r="C10" i="6"/>
  <c r="E10" i="6" s="1"/>
  <c r="G10" i="6" s="1"/>
  <c r="I10" i="6" s="1"/>
  <c r="E9" i="6"/>
  <c r="G9" i="6" s="1"/>
  <c r="I9" i="6" s="1"/>
  <c r="F8" i="6"/>
  <c r="F12" i="6" s="1"/>
  <c r="E8" i="6"/>
  <c r="G8" i="6" s="1"/>
  <c r="I8" i="6" s="1"/>
  <c r="E7" i="6"/>
  <c r="G7" i="6" s="1"/>
  <c r="I7" i="6" s="1"/>
  <c r="C6" i="6"/>
  <c r="C12" i="6" s="1"/>
  <c r="E6" i="6" l="1"/>
  <c r="E12" i="6"/>
  <c r="G6" i="6"/>
  <c r="I6" i="6" l="1"/>
  <c r="I12" i="6" s="1"/>
  <c r="G12" i="6"/>
  <c r="E31" i="5" l="1"/>
  <c r="C24" i="5"/>
  <c r="C27" i="5" s="1"/>
  <c r="C6" i="5"/>
  <c r="C7" i="5" s="1"/>
  <c r="E6" i="5"/>
  <c r="D27" i="5"/>
  <c r="D6" i="5"/>
  <c r="D7" i="5" s="1"/>
  <c r="D29" i="5" s="1"/>
  <c r="D33" i="5" s="1"/>
  <c r="C29" i="5" l="1"/>
  <c r="C33" i="5" s="1"/>
  <c r="E27" i="5" l="1"/>
  <c r="E7" i="5"/>
  <c r="E29" i="5" l="1"/>
  <c r="E33" i="5" s="1"/>
</calcChain>
</file>

<file path=xl/sharedStrings.xml><?xml version="1.0" encoding="utf-8"?>
<sst xmlns="http://schemas.openxmlformats.org/spreadsheetml/2006/main" count="302" uniqueCount="204">
  <si>
    <t>Town of Longboat Key</t>
  </si>
  <si>
    <t>Back</t>
  </si>
  <si>
    <t>102-Infrastructure Surtax</t>
  </si>
  <si>
    <t>Budget</t>
  </si>
  <si>
    <t>Actual</t>
  </si>
  <si>
    <t>2013-2014</t>
  </si>
  <si>
    <t>2012-2013</t>
  </si>
  <si>
    <t>2011-2012</t>
  </si>
  <si>
    <t>Oct 1 Fund Balance</t>
  </si>
  <si>
    <t>Revenue:</t>
  </si>
  <si>
    <t>Infrastructure Surtax-Sarasota</t>
  </si>
  <si>
    <t>Investment Income</t>
  </si>
  <si>
    <t>Investment Expense</t>
  </si>
  <si>
    <t>Total Revenue</t>
  </si>
  <si>
    <t>Expenditures:</t>
  </si>
  <si>
    <t>Facilities</t>
  </si>
  <si>
    <t>Interior Painting</t>
  </si>
  <si>
    <t>Floor Coverings</t>
  </si>
  <si>
    <t>Telephone System</t>
  </si>
  <si>
    <t>Safety</t>
  </si>
  <si>
    <t>Total Expenditures</t>
  </si>
  <si>
    <t>Net change</t>
  </si>
  <si>
    <t>Ending Fund Balance</t>
  </si>
  <si>
    <t>Assigned to Encumbrances</t>
  </si>
  <si>
    <t>Restricted to Capital Improvements</t>
  </si>
  <si>
    <t>Infrastructure Surtax</t>
  </si>
  <si>
    <r>
      <t xml:space="preserve">       </t>
    </r>
    <r>
      <rPr>
        <b/>
        <sz val="11"/>
        <color theme="1"/>
        <rFont val="Calibri"/>
        <family val="2"/>
        <scheme val="minor"/>
      </rPr>
      <t>Total Revenue</t>
    </r>
  </si>
  <si>
    <t>Audited</t>
  </si>
  <si>
    <r>
      <t xml:space="preserve">       </t>
    </r>
    <r>
      <rPr>
        <b/>
        <sz val="11"/>
        <color theme="1"/>
        <rFont val="Calibri"/>
        <family val="2"/>
        <scheme val="minor"/>
      </rPr>
      <t>Total Expenditures</t>
    </r>
  </si>
  <si>
    <t>Revenues over expenditures</t>
  </si>
  <si>
    <t>Public Facilities - CISCO Network Switch</t>
  </si>
  <si>
    <t>Public Facilities - Telephone System</t>
  </si>
  <si>
    <t>Public Facilities - Server Replacement</t>
  </si>
  <si>
    <t>Public Facilities - Floor Coverings</t>
  </si>
  <si>
    <t>Public Facilities - Generator Replacement</t>
  </si>
  <si>
    <t>Public Facilities - South Fire Assessment</t>
  </si>
  <si>
    <t>2014-2015</t>
  </si>
  <si>
    <t>Capital Outlay:</t>
  </si>
  <si>
    <t>Server Replacment 2014</t>
  </si>
  <si>
    <t>Cisco Switch</t>
  </si>
  <si>
    <t>Floor Repairs</t>
  </si>
  <si>
    <t>No Fire-AC Condensors</t>
  </si>
  <si>
    <t>No Fire-Duct Work</t>
  </si>
  <si>
    <t>Fire Station-Floor Coverings</t>
  </si>
  <si>
    <t>Generator-Police</t>
  </si>
  <si>
    <t>So Fire Station Assessment</t>
  </si>
  <si>
    <t>Reclass needed</t>
  </si>
  <si>
    <t>SCBA Cylinders</t>
  </si>
  <si>
    <t xml:space="preserve">    Tran to General Fund</t>
  </si>
  <si>
    <t xml:space="preserve">    Tran to Parks and Recs Cap Proj</t>
  </si>
  <si>
    <t xml:space="preserve">    Tran to Utility Fund</t>
  </si>
  <si>
    <t xml:space="preserve">    Tran to Canal Dredging </t>
  </si>
  <si>
    <t xml:space="preserve">    Tran to Beach Capital </t>
  </si>
  <si>
    <t xml:space="preserve">    Tran to Beach Debt Srv </t>
  </si>
  <si>
    <t>Check to liquidate servers completed</t>
  </si>
  <si>
    <t>Tie to Balance Sheet</t>
  </si>
  <si>
    <t>Cash</t>
  </si>
  <si>
    <t>Accrued Interest</t>
  </si>
  <si>
    <t>G/L on Investments</t>
  </si>
  <si>
    <t>Investments</t>
  </si>
  <si>
    <t>FY2014-15</t>
  </si>
  <si>
    <t>Public Safety - Police Radio Equipment</t>
  </si>
  <si>
    <t>Public Safety-Fire SCBA Cylinders</t>
  </si>
  <si>
    <t>FY2015-16</t>
  </si>
  <si>
    <t>FY2013-2014</t>
  </si>
  <si>
    <t>Net Investment Income</t>
  </si>
  <si>
    <t>Public Facilities - Improvements</t>
  </si>
  <si>
    <t>Fund Balance, Beginning</t>
  </si>
  <si>
    <t>Fund Balance, Ending</t>
  </si>
  <si>
    <t>Public Safety - Police Vehicles</t>
  </si>
  <si>
    <t>Public Safety - Defibrillators</t>
  </si>
  <si>
    <t>Parks/Rec- Transfer to Bayfront Park</t>
  </si>
  <si>
    <t>Canals - Transfer to Canal Fund</t>
  </si>
  <si>
    <t>2015-2016</t>
  </si>
  <si>
    <t>DO NOT ROUND NUMBERS</t>
  </si>
  <si>
    <t>Police Bldg Structure</t>
  </si>
  <si>
    <t>Fire Defibrillators</t>
  </si>
  <si>
    <t>Intergovernmental A/R</t>
  </si>
  <si>
    <t>Program has run from 2010 through 2017 (8 years in)</t>
  </si>
  <si>
    <t>Sarasota County</t>
  </si>
  <si>
    <t>using lower confidence bound forecast</t>
  </si>
  <si>
    <t>actual</t>
  </si>
  <si>
    <t>forecast</t>
  </si>
  <si>
    <t>Current 15 Yr Budget</t>
  </si>
  <si>
    <t>EXHIBIT F</t>
  </si>
  <si>
    <t>TOWN OF LONGBOAT KEY PROJECTS LIST - PHASE III</t>
  </si>
  <si>
    <t>INFRASTRUCTURE SURTAX FY 2010 - FY 2024</t>
  </si>
  <si>
    <t>CATEGORIES</t>
  </si>
  <si>
    <t>PROJECT TITLE</t>
  </si>
  <si>
    <t>SURTAX FUNDING BUDGET</t>
  </si>
  <si>
    <t>ADJUSTMENT</t>
  </si>
  <si>
    <t>REVISED BUDGET</t>
  </si>
  <si>
    <t>CUMULATIVE EXPENDITURES</t>
  </si>
  <si>
    <t>SURTAX REMAINING</t>
  </si>
  <si>
    <t>COMPREHENSIVE BEACH MANAGEMENT</t>
  </si>
  <si>
    <t>Longboat Key Beach Nourishment Project  and Erosion Control Structures</t>
  </si>
  <si>
    <t>STREETS and DRAINAGE</t>
  </si>
  <si>
    <t>Street Resurfacing and Drainage Improvements</t>
  </si>
  <si>
    <t>PARKS and RECREATION IMPROVEMENTS</t>
  </si>
  <si>
    <t xml:space="preserve">Parks &amp; Recreation Improvements </t>
  </si>
  <si>
    <t>CANAL DREDGING</t>
  </si>
  <si>
    <t>Dredging maintenance</t>
  </si>
  <si>
    <t>PUBLIC SAFETY</t>
  </si>
  <si>
    <t>Fire and Police Vehicles and Equipment</t>
  </si>
  <si>
    <t>IMPROVEMENTS TO PUBLIC FACILITIES</t>
  </si>
  <si>
    <t>Facilities Maintenance</t>
  </si>
  <si>
    <t xml:space="preserve"> Infrastructure Surtax Project Grand Total Through 2024</t>
  </si>
  <si>
    <t>Projected Ending Fund Balance FY 2017</t>
  </si>
  <si>
    <t>Facility Improvements</t>
  </si>
  <si>
    <t>unused balance</t>
  </si>
  <si>
    <t>AMENDED SURTAX BUDGET</t>
  </si>
  <si>
    <t>Updated: 05/06/2017</t>
  </si>
  <si>
    <t>PROJECTED FY 17 EXPENDITURES</t>
  </si>
  <si>
    <t>Estimated Revenue</t>
  </si>
  <si>
    <t>Estimated  Fund Balance</t>
  </si>
  <si>
    <t>Beginning Fund Balance</t>
  </si>
  <si>
    <t>Net change in Fund Balance FY 2017</t>
  </si>
  <si>
    <t>Budget Transfer 5/6/17</t>
  </si>
  <si>
    <t>$88,348 added back to fund balance</t>
  </si>
  <si>
    <t>Fire AC Condensers</t>
  </si>
  <si>
    <t>Fire Ducts</t>
  </si>
  <si>
    <t>Fire Ramp</t>
  </si>
  <si>
    <t>Public Safety</t>
  </si>
  <si>
    <t>Defibrillators</t>
  </si>
  <si>
    <t>Amendment Made in 2016 to Budgets</t>
  </si>
  <si>
    <t>FY 2016 AMENDMENT</t>
  </si>
  <si>
    <t>RESOLUTION 2016-17</t>
  </si>
  <si>
    <t>REMAINING BUDGET</t>
  </si>
  <si>
    <t>Facility</t>
  </si>
  <si>
    <t>Improvements</t>
  </si>
  <si>
    <t>FY 2015-16</t>
  </si>
  <si>
    <t xml:space="preserve">          </t>
  </si>
  <si>
    <t>Parks</t>
  </si>
  <si>
    <t>FY 2016-17</t>
  </si>
  <si>
    <t>HVAC Upgrades</t>
  </si>
  <si>
    <t>Patrol Vehicles</t>
  </si>
  <si>
    <t>Police Station Roof</t>
  </si>
  <si>
    <t>Tennis Center Fencing and Court Resurface</t>
  </si>
  <si>
    <t>Police - Radio Enhancements</t>
  </si>
  <si>
    <t>Fire - Ambulance</t>
  </si>
  <si>
    <t xml:space="preserve">Fire Defibrillators </t>
  </si>
  <si>
    <t>Town Hall Improvements</t>
  </si>
  <si>
    <t>Canal</t>
  </si>
  <si>
    <t>Dredging</t>
  </si>
  <si>
    <t xml:space="preserve">Canal Dredging </t>
  </si>
  <si>
    <t>Bayfront Park Project</t>
  </si>
  <si>
    <r>
      <t xml:space="preserve">       </t>
    </r>
    <r>
      <rPr>
        <b/>
        <sz val="10"/>
        <color theme="1"/>
        <rFont val="Arial"/>
        <family val="2"/>
      </rPr>
      <t>Total Revenue</t>
    </r>
  </si>
  <si>
    <r>
      <t xml:space="preserve">       </t>
    </r>
    <r>
      <rPr>
        <b/>
        <sz val="10"/>
        <color theme="1"/>
        <rFont val="Arial"/>
        <family val="2"/>
      </rPr>
      <t>Total Expenditures</t>
    </r>
  </si>
  <si>
    <t>PHASE III</t>
  </si>
  <si>
    <t>AMOUNT EXPENDED OR COMMITTED</t>
  </si>
  <si>
    <t>Project List</t>
  </si>
  <si>
    <t>ALLOCATION</t>
  </si>
  <si>
    <t>BALANCE</t>
  </si>
  <si>
    <t>Beach Nourishment</t>
  </si>
  <si>
    <t>Streets &amp; Drainage</t>
  </si>
  <si>
    <t>Park&amp; Recreation Improvements</t>
  </si>
  <si>
    <t>Canal Dredging</t>
  </si>
  <si>
    <t>Public Facility Improvements</t>
  </si>
  <si>
    <t>Police Building Improvements (Structural)</t>
  </si>
  <si>
    <t>PROJ</t>
  </si>
  <si>
    <t>2016-2017</t>
  </si>
  <si>
    <t>FACROOF</t>
  </si>
  <si>
    <t>Roof Replacement</t>
  </si>
  <si>
    <t>HVAC-PF</t>
  </si>
  <si>
    <t>HVAC - General facilities</t>
  </si>
  <si>
    <t>FLOORPF</t>
  </si>
  <si>
    <t>FDCNDSR</t>
  </si>
  <si>
    <t>No Fire- relocate Condensors</t>
  </si>
  <si>
    <t>FD-RAMP</t>
  </si>
  <si>
    <t>So Fire-Ramp</t>
  </si>
  <si>
    <t>PD_STRUC</t>
  </si>
  <si>
    <t>PD_ROOF</t>
  </si>
  <si>
    <t>Police Roof replacement</t>
  </si>
  <si>
    <t xml:space="preserve">Police cars </t>
  </si>
  <si>
    <t>Ambulance</t>
  </si>
  <si>
    <t>FD_EQUP</t>
  </si>
  <si>
    <t>Fire Equipment</t>
  </si>
  <si>
    <t>PDRADIO</t>
  </si>
  <si>
    <t>Police Radio Equipment</t>
  </si>
  <si>
    <t>Tennis Court - Clay Resurfacing</t>
  </si>
  <si>
    <t>Tennis Fencing</t>
  </si>
  <si>
    <t>Cnals</t>
  </si>
  <si>
    <t>Dave prefers to keep in Infrastructure fund if we don’t need the money in the Parks fund</t>
  </si>
  <si>
    <t>AP</t>
  </si>
  <si>
    <t>FY2016-17</t>
  </si>
  <si>
    <t>Public Facilities - HVAC Upgrades</t>
  </si>
  <si>
    <t>Public Safety-Police cars</t>
  </si>
  <si>
    <t>Public Safety - Radios</t>
  </si>
  <si>
    <t>Public Safety - Power Load Stretcher for Ambulance</t>
  </si>
  <si>
    <t>Parks/Rec- Tennis Court  Resurfacing</t>
  </si>
  <si>
    <t>Parks/Rec -Tennis Center fencing</t>
  </si>
  <si>
    <t>FY 2017-18</t>
  </si>
  <si>
    <t>North Station - Fitness Equipment</t>
  </si>
  <si>
    <t>Task Chair Seating - Town Hall</t>
  </si>
  <si>
    <t xml:space="preserve">Commission Chambers Audio </t>
  </si>
  <si>
    <t>Police - Space Renovation</t>
  </si>
  <si>
    <t>Tennis Court Resurfacing</t>
  </si>
  <si>
    <t>Irrigation Well with filter system</t>
  </si>
  <si>
    <t>Fencing</t>
  </si>
  <si>
    <t>THROUGH FY18</t>
  </si>
  <si>
    <t>Public Facilities - HVAC</t>
  </si>
  <si>
    <t>Public Safety-Power Load Stretcher</t>
  </si>
  <si>
    <t>Parks/Rec- Tennis Court Resurfacing</t>
  </si>
  <si>
    <t>Parks/Rec- Fencing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</si>
</sst>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i/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mbria"/>
      <family val="1"/>
      <scheme val="major"/>
    </font>
    <font>
      <vertAlign val="superscript"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u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0" xfId="1" applyFont="1" applyAlignment="1">
      <alignment horizontal="centerContinuous"/>
    </xf>
    <xf numFmtId="0" fontId="4" fillId="0" borderId="0" xfId="0" applyFont="1"/>
    <xf numFmtId="0" fontId="4" fillId="0" borderId="0" xfId="0" applyFont="1" applyBorder="1"/>
    <xf numFmtId="0" fontId="5" fillId="0" borderId="0" xfId="2"/>
    <xf numFmtId="16" fontId="3" fillId="0" borderId="0" xfId="1" quotePrefix="1" applyNumberFormat="1" applyFont="1" applyAlignment="1">
      <alignment horizontal="centerContinuous"/>
    </xf>
    <xf numFmtId="43" fontId="3" fillId="0" borderId="0" xfId="1" quotePrefix="1" applyFont="1" applyAlignment="1">
      <alignment horizontal="centerContinuous"/>
    </xf>
    <xf numFmtId="43" fontId="3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/>
    <xf numFmtId="43" fontId="7" fillId="0" borderId="0" xfId="1" applyFont="1"/>
    <xf numFmtId="43" fontId="7" fillId="0" borderId="0" xfId="1" applyFont="1" applyBorder="1"/>
    <xf numFmtId="43" fontId="4" fillId="0" borderId="0" xfId="1" applyFont="1"/>
    <xf numFmtId="43" fontId="4" fillId="0" borderId="0" xfId="1" applyFont="1" applyBorder="1"/>
    <xf numFmtId="43" fontId="4" fillId="0" borderId="0" xfId="1" applyFont="1" applyFill="1"/>
    <xf numFmtId="43" fontId="4" fillId="0" borderId="1" xfId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3" fontId="7" fillId="0" borderId="2" xfId="1" applyFont="1" applyBorder="1"/>
    <xf numFmtId="0" fontId="4" fillId="0" borderId="0" xfId="0" applyFont="1" applyFill="1"/>
    <xf numFmtId="0" fontId="4" fillId="0" borderId="0" xfId="0" applyFont="1" applyFill="1" applyBorder="1"/>
    <xf numFmtId="43" fontId="11" fillId="0" borderId="0" xfId="1" applyFont="1"/>
    <xf numFmtId="0" fontId="9" fillId="0" borderId="1" xfId="0" applyFont="1" applyBorder="1"/>
    <xf numFmtId="0" fontId="4" fillId="0" borderId="1" xfId="0" applyFont="1" applyBorder="1"/>
    <xf numFmtId="0" fontId="10" fillId="0" borderId="1" xfId="0" applyFont="1" applyBorder="1"/>
    <xf numFmtId="43" fontId="11" fillId="0" borderId="1" xfId="1" applyFont="1" applyBorder="1"/>
    <xf numFmtId="0" fontId="8" fillId="0" borderId="1" xfId="0" applyFont="1" applyBorder="1"/>
    <xf numFmtId="43" fontId="3" fillId="2" borderId="0" xfId="1" applyFont="1" applyFill="1" applyAlignment="1">
      <alignment horizontal="right"/>
    </xf>
    <xf numFmtId="0" fontId="4" fillId="2" borderId="1" xfId="0" applyFont="1" applyFill="1" applyBorder="1" applyAlignment="1">
      <alignment horizontal="right"/>
    </xf>
    <xf numFmtId="43" fontId="4" fillId="2" borderId="0" xfId="1" applyFont="1" applyFill="1"/>
    <xf numFmtId="43" fontId="7" fillId="2" borderId="0" xfId="1" applyFont="1" applyFill="1"/>
    <xf numFmtId="43" fontId="4" fillId="2" borderId="1" xfId="1" applyFont="1" applyFill="1" applyBorder="1"/>
    <xf numFmtId="43" fontId="11" fillId="2" borderId="0" xfId="1" applyFont="1" applyFill="1"/>
    <xf numFmtId="43" fontId="11" fillId="2" borderId="1" xfId="1" applyFont="1" applyFill="1" applyBorder="1"/>
    <xf numFmtId="43" fontId="7" fillId="2" borderId="2" xfId="1" applyFont="1" applyFill="1" applyBorder="1"/>
    <xf numFmtId="44" fontId="4" fillId="0" borderId="0" xfId="3" applyFont="1" applyFill="1"/>
    <xf numFmtId="44" fontId="4" fillId="0" borderId="1" xfId="3" applyFont="1" applyFill="1" applyBorder="1"/>
    <xf numFmtId="0" fontId="16" fillId="3" borderId="0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right" vertical="center" wrapText="1"/>
    </xf>
    <xf numFmtId="0" fontId="16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166" fontId="16" fillId="3" borderId="0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 wrapText="1"/>
    </xf>
    <xf numFmtId="164" fontId="16" fillId="0" borderId="0" xfId="3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5" fontId="16" fillId="0" borderId="0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top" wrapText="1"/>
    </xf>
    <xf numFmtId="165" fontId="16" fillId="2" borderId="0" xfId="1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left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165" fontId="16" fillId="4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64" fontId="16" fillId="0" borderId="0" xfId="0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Continuous" vertical="top"/>
    </xf>
    <xf numFmtId="0" fontId="16" fillId="5" borderId="0" xfId="0" applyFont="1" applyFill="1" applyBorder="1" applyAlignment="1">
      <alignment horizontal="centerContinuous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right" vertical="center"/>
    </xf>
    <xf numFmtId="0" fontId="16" fillId="5" borderId="0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center" vertical="center" wrapText="1"/>
    </xf>
    <xf numFmtId="165" fontId="17" fillId="6" borderId="4" xfId="1" applyNumberFormat="1" applyFont="1" applyFill="1" applyBorder="1" applyAlignment="1">
      <alignment horizontal="right" vertical="center" wrapText="1"/>
    </xf>
    <xf numFmtId="165" fontId="17" fillId="6" borderId="5" xfId="1" applyNumberFormat="1" applyFont="1" applyFill="1" applyBorder="1" applyAlignment="1">
      <alignment horizontal="right" vertical="center" wrapText="1"/>
    </xf>
    <xf numFmtId="165" fontId="17" fillId="4" borderId="4" xfId="1" applyNumberFormat="1" applyFont="1" applyFill="1" applyBorder="1" applyAlignment="1">
      <alignment horizontal="right" vertical="center" wrapText="1"/>
    </xf>
    <xf numFmtId="0" fontId="17" fillId="6" borderId="6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165" fontId="17" fillId="6" borderId="1" xfId="1" applyNumberFormat="1" applyFont="1" applyFill="1" applyBorder="1" applyAlignment="1">
      <alignment horizontal="right" vertical="center" wrapText="1"/>
    </xf>
    <xf numFmtId="165" fontId="17" fillId="6" borderId="7" xfId="1" applyNumberFormat="1" applyFont="1" applyFill="1" applyBorder="1" applyAlignment="1">
      <alignment horizontal="right" vertical="center" wrapText="1"/>
    </xf>
    <xf numFmtId="0" fontId="16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/>
    </xf>
    <xf numFmtId="164" fontId="16" fillId="7" borderId="1" xfId="3" applyNumberFormat="1" applyFont="1" applyFill="1" applyBorder="1" applyAlignment="1">
      <alignment horizontal="right" vertical="center" wrapText="1"/>
    </xf>
    <xf numFmtId="166" fontId="16" fillId="3" borderId="0" xfId="0" applyNumberFormat="1" applyFont="1" applyFill="1" applyBorder="1" applyAlignment="1">
      <alignment horizontal="right" vertical="center" wrapText="1"/>
    </xf>
    <xf numFmtId="166" fontId="18" fillId="3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4" fontId="17" fillId="6" borderId="5" xfId="3" applyNumberFormat="1" applyFont="1" applyFill="1" applyBorder="1" applyAlignment="1">
      <alignment horizontal="right" vertical="center" wrapText="1"/>
    </xf>
    <xf numFmtId="164" fontId="17" fillId="6" borderId="4" xfId="3" applyNumberFormat="1" applyFont="1" applyFill="1" applyBorder="1" applyAlignment="1">
      <alignment horizontal="right" vertical="center" wrapText="1"/>
    </xf>
    <xf numFmtId="164" fontId="16" fillId="4" borderId="1" xfId="3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right" vertical="center" wrapText="1"/>
    </xf>
    <xf numFmtId="164" fontId="17" fillId="2" borderId="0" xfId="3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center" vertical="center"/>
    </xf>
    <xf numFmtId="166" fontId="16" fillId="2" borderId="0" xfId="0" applyNumberFormat="1" applyFont="1" applyFill="1" applyBorder="1" applyAlignment="1">
      <alignment horizontal="center" vertical="center" wrapText="1"/>
    </xf>
    <xf numFmtId="166" fontId="16" fillId="7" borderId="8" xfId="0" applyNumberFormat="1" applyFont="1" applyFill="1" applyBorder="1" applyAlignment="1">
      <alignment horizontal="right" vertical="center" wrapText="1"/>
    </xf>
    <xf numFmtId="164" fontId="16" fillId="7" borderId="8" xfId="3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top" wrapText="1"/>
    </xf>
    <xf numFmtId="166" fontId="18" fillId="6" borderId="9" xfId="0" applyNumberFormat="1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left" vertical="top" wrapText="1"/>
    </xf>
    <xf numFmtId="0" fontId="16" fillId="8" borderId="11" xfId="0" applyFont="1" applyFill="1" applyBorder="1" applyAlignment="1">
      <alignment horizontal="center" vertical="center" wrapText="1"/>
    </xf>
    <xf numFmtId="165" fontId="16" fillId="8" borderId="11" xfId="1" applyNumberFormat="1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165" fontId="20" fillId="0" borderId="0" xfId="1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horizontal="left" vertical="center" wrapText="1"/>
    </xf>
    <xf numFmtId="164" fontId="20" fillId="0" borderId="0" xfId="3" applyNumberFormat="1" applyFont="1" applyFill="1" applyBorder="1" applyAlignment="1">
      <alignment horizontal="center" vertical="center" wrapText="1"/>
    </xf>
    <xf numFmtId="164" fontId="20" fillId="0" borderId="1" xfId="3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16" fillId="8" borderId="10" xfId="0" applyFont="1" applyFill="1" applyBorder="1" applyAlignment="1">
      <alignment horizontal="center" vertical="top" wrapText="1"/>
    </xf>
    <xf numFmtId="165" fontId="16" fillId="8" borderId="11" xfId="0" applyNumberFormat="1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17" fillId="6" borderId="13" xfId="0" applyFont="1" applyFill="1" applyBorder="1" applyAlignment="1">
      <alignment horizontal="left" vertical="center" wrapText="1"/>
    </xf>
    <xf numFmtId="0" fontId="17" fillId="6" borderId="14" xfId="0" applyFont="1" applyFill="1" applyBorder="1" applyAlignment="1">
      <alignment horizontal="center" vertical="center" wrapText="1"/>
    </xf>
    <xf numFmtId="165" fontId="17" fillId="6" borderId="14" xfId="1" applyNumberFormat="1" applyFont="1" applyFill="1" applyBorder="1" applyAlignment="1">
      <alignment horizontal="right" vertical="center" wrapText="1"/>
    </xf>
    <xf numFmtId="165" fontId="17" fillId="4" borderId="14" xfId="1" applyNumberFormat="1" applyFont="1" applyFill="1" applyBorder="1" applyAlignment="1">
      <alignment horizontal="right" vertical="center" wrapText="1"/>
    </xf>
    <xf numFmtId="164" fontId="17" fillId="6" borderId="15" xfId="3" applyNumberFormat="1" applyFont="1" applyFill="1" applyBorder="1" applyAlignment="1">
      <alignment horizontal="right" vertical="center" wrapText="1"/>
    </xf>
    <xf numFmtId="0" fontId="0" fillId="3" borderId="0" xfId="0" applyFill="1"/>
    <xf numFmtId="165" fontId="0" fillId="3" borderId="0" xfId="1" applyNumberFormat="1" applyFont="1" applyFill="1"/>
    <xf numFmtId="0" fontId="0" fillId="9" borderId="0" xfId="0" applyFill="1"/>
    <xf numFmtId="0" fontId="12" fillId="9" borderId="0" xfId="0" applyFont="1" applyFill="1" applyAlignment="1">
      <alignment horizontal="center"/>
    </xf>
    <xf numFmtId="0" fontId="12" fillId="9" borderId="0" xfId="0" applyFont="1" applyFill="1"/>
    <xf numFmtId="0" fontId="13" fillId="9" borderId="0" xfId="0" applyFont="1" applyFill="1" applyBorder="1" applyAlignment="1">
      <alignment horizontal="center"/>
    </xf>
    <xf numFmtId="164" fontId="0" fillId="9" borderId="0" xfId="3" applyNumberFormat="1" applyFont="1" applyFill="1"/>
    <xf numFmtId="165" fontId="14" fillId="9" borderId="0" xfId="1" applyNumberFormat="1" applyFont="1" applyFill="1"/>
    <xf numFmtId="165" fontId="0" fillId="9" borderId="0" xfId="1" applyNumberFormat="1" applyFont="1" applyFill="1"/>
    <xf numFmtId="165" fontId="1" fillId="9" borderId="1" xfId="1" applyNumberFormat="1" applyFont="1" applyFill="1" applyBorder="1"/>
    <xf numFmtId="165" fontId="15" fillId="9" borderId="0" xfId="1" applyNumberFormat="1" applyFont="1" applyFill="1" applyBorder="1"/>
    <xf numFmtId="164" fontId="15" fillId="9" borderId="0" xfId="3" applyNumberFormat="1" applyFont="1" applyFill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6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7" fontId="22" fillId="0" borderId="0" xfId="3" applyNumberFormat="1" applyFont="1" applyAlignment="1">
      <alignment horizontal="center" vertical="center"/>
    </xf>
    <xf numFmtId="37" fontId="23" fillId="0" borderId="0" xfId="3" applyNumberFormat="1" applyFont="1" applyAlignment="1">
      <alignment horizontal="right" vertical="center"/>
    </xf>
    <xf numFmtId="37" fontId="24" fillId="0" borderId="0" xfId="3" applyNumberFormat="1" applyFont="1" applyAlignment="1">
      <alignment horizontal="right" vertical="center"/>
    </xf>
    <xf numFmtId="37" fontId="0" fillId="0" borderId="0" xfId="3" applyNumberFormat="1" applyFont="1" applyAlignment="1">
      <alignment horizontal="right"/>
    </xf>
    <xf numFmtId="5" fontId="24" fillId="0" borderId="0" xfId="3" applyNumberFormat="1" applyFont="1" applyAlignment="1">
      <alignment horizontal="right" vertical="center"/>
    </xf>
    <xf numFmtId="0" fontId="21" fillId="0" borderId="0" xfId="0" applyFont="1" applyAlignment="1"/>
    <xf numFmtId="0" fontId="0" fillId="0" borderId="0" xfId="0" applyFill="1"/>
    <xf numFmtId="0" fontId="25" fillId="0" borderId="0" xfId="0" applyFont="1" applyFill="1"/>
    <xf numFmtId="165" fontId="25" fillId="0" borderId="0" xfId="1" applyNumberFormat="1" applyFont="1" applyFill="1"/>
    <xf numFmtId="0" fontId="25" fillId="0" borderId="0" xfId="0" applyFont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6" fontId="25" fillId="0" borderId="0" xfId="0" applyNumberFormat="1" applyFont="1" applyAlignment="1">
      <alignment horizontal="right" vertical="center"/>
    </xf>
    <xf numFmtId="38" fontId="25" fillId="0" borderId="0" xfId="0" applyNumberFormat="1" applyFont="1" applyAlignment="1">
      <alignment horizontal="right" vertical="center"/>
    </xf>
    <xf numFmtId="6" fontId="25" fillId="0" borderId="16" xfId="0" applyNumberFormat="1" applyFont="1" applyBorder="1" applyAlignment="1">
      <alignment horizontal="right" vertical="center"/>
    </xf>
    <xf numFmtId="6" fontId="25" fillId="0" borderId="16" xfId="0" applyNumberFormat="1" applyFont="1" applyBorder="1" applyAlignment="1">
      <alignment horizontal="right" vertical="center" wrapText="1"/>
    </xf>
    <xf numFmtId="38" fontId="25" fillId="0" borderId="1" xfId="0" applyNumberFormat="1" applyFont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1" fillId="0" borderId="0" xfId="0" applyFont="1"/>
    <xf numFmtId="16" fontId="3" fillId="0" borderId="0" xfId="1" quotePrefix="1" applyNumberFormat="1" applyFont="1" applyAlignment="1">
      <alignment horizontal="left"/>
    </xf>
    <xf numFmtId="43" fontId="4" fillId="4" borderId="0" xfId="1" applyFont="1" applyFill="1"/>
    <xf numFmtId="0" fontId="4" fillId="4" borderId="0" xfId="0" applyFont="1" applyFill="1"/>
    <xf numFmtId="166" fontId="25" fillId="0" borderId="0" xfId="3" applyNumberFormat="1" applyFont="1"/>
    <xf numFmtId="0" fontId="8" fillId="0" borderId="0" xfId="0" applyFont="1" applyFill="1" applyBorder="1" applyAlignment="1">
      <alignment horizontal="left" vertical="center" wrapText="1"/>
    </xf>
    <xf numFmtId="166" fontId="24" fillId="0" borderId="0" xfId="3" applyNumberFormat="1" applyFont="1" applyAlignment="1">
      <alignment horizontal="right" vertical="center"/>
    </xf>
    <xf numFmtId="166" fontId="0" fillId="0" borderId="0" xfId="3" applyNumberFormat="1" applyFont="1"/>
    <xf numFmtId="166" fontId="21" fillId="0" borderId="0" xfId="3" applyNumberFormat="1" applyFont="1"/>
    <xf numFmtId="166" fontId="23" fillId="0" borderId="0" xfId="3" applyNumberFormat="1" applyFont="1" applyAlignment="1">
      <alignment horizontal="right" vertical="center"/>
    </xf>
    <xf numFmtId="166" fontId="23" fillId="0" borderId="0" xfId="3" applyNumberFormat="1" applyFont="1" applyAlignment="1">
      <alignment horizontal="center" vertical="center"/>
    </xf>
    <xf numFmtId="0" fontId="26" fillId="3" borderId="0" xfId="0" applyFont="1" applyFill="1"/>
    <xf numFmtId="0" fontId="25" fillId="3" borderId="0" xfId="0" applyFont="1" applyFill="1"/>
    <xf numFmtId="0" fontId="26" fillId="3" borderId="0" xfId="0" applyFont="1" applyFill="1" applyAlignment="1">
      <alignment horizontal="center"/>
    </xf>
    <xf numFmtId="37" fontId="25" fillId="3" borderId="1" xfId="1" applyNumberFormat="1" applyFont="1" applyFill="1" applyBorder="1"/>
    <xf numFmtId="5" fontId="25" fillId="3" borderId="0" xfId="1" applyNumberFormat="1" applyFont="1" applyFill="1"/>
    <xf numFmtId="165" fontId="25" fillId="3" borderId="0" xfId="1" applyNumberFormat="1" applyFont="1" applyFill="1"/>
    <xf numFmtId="165" fontId="25" fillId="3" borderId="1" xfId="1" applyNumberFormat="1" applyFont="1" applyFill="1" applyBorder="1"/>
    <xf numFmtId="5" fontId="25" fillId="3" borderId="16" xfId="1" applyNumberFormat="1" applyFont="1" applyFill="1" applyBorder="1"/>
    <xf numFmtId="0" fontId="16" fillId="5" borderId="0" xfId="0" applyFont="1" applyFill="1" applyBorder="1" applyAlignment="1">
      <alignment horizontal="center" vertical="top"/>
    </xf>
    <xf numFmtId="0" fontId="21" fillId="0" borderId="0" xfId="0" applyFont="1"/>
    <xf numFmtId="37" fontId="25" fillId="3" borderId="1" xfId="1" applyNumberFormat="1" applyFont="1" applyFill="1" applyBorder="1" applyAlignment="1"/>
    <xf numFmtId="0" fontId="27" fillId="3" borderId="0" xfId="0" applyFont="1" applyFill="1" applyBorder="1" applyAlignment="1">
      <alignment horizontal="right"/>
    </xf>
    <xf numFmtId="0" fontId="26" fillId="3" borderId="0" xfId="0" applyFont="1" applyFill="1" applyAlignment="1">
      <alignment horizontal="right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225425</xdr:colOff>
      <xdr:row>16</xdr:row>
      <xdr:rowOff>95250</xdr:rowOff>
    </xdr:from>
    <xdr:to>
      <xdr:col>8</xdr:col>
      <xdr:colOff>1292225</xdr:colOff>
      <xdr:row>21</xdr:row>
      <xdr:rowOff>28575</xdr:rowOff>
    </xdr:to>
    <xdr:sp macro="" textlink="">
      <xdr:nvSpPr>
        <xdr:cNvPr id="2" name="TextBox 1"/>
        <xdr:cNvSpPr txBox="1"/>
      </xdr:nvSpPr>
      <xdr:spPr>
        <a:xfrm>
          <a:off x="8388350" y="6286500"/>
          <a:ext cx="2371725" cy="1485900"/>
        </a:xfrm>
        <a:prstGeom prst="rect">
          <a:avLst/>
        </a:prstGeom>
        <a:solidFill>
          <a:schemeClr val="bg2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Budget amendment for Projects</a:t>
          </a:r>
          <a:r>
            <a:rPr lang="en-US" sz="1100" baseline="0"/>
            <a:t> closed due to new Fire House renovation and completed projects. Money will be reallocated to new projects in FY18 budget cycle.</a:t>
          </a:r>
          <a:endParaRPr lang="en-US" sz="1100"/>
        </a:p>
      </xdr:txBody>
    </xdr:sp>
    <xdr:clientData/>
  </xdr:twoCellAnchor>
  <xdr:twoCellAnchor>
    <xdr:from>
      <xdr:col>7</xdr:col>
      <xdr:colOff>57150</xdr:colOff>
      <xdr:row>24</xdr:row>
      <xdr:rowOff>95250</xdr:rowOff>
    </xdr:from>
    <xdr:to>
      <xdr:col>8</xdr:col>
      <xdr:colOff>1257300</xdr:colOff>
      <xdr:row>29</xdr:row>
      <xdr:rowOff>523875</xdr:rowOff>
    </xdr:to>
    <xdr:sp macro="" textlink="">
      <xdr:nvSpPr>
        <xdr:cNvPr id="3" name="TextBox 2"/>
        <xdr:cNvSpPr txBox="1"/>
      </xdr:nvSpPr>
      <xdr:spPr>
        <a:xfrm>
          <a:off x="8077200" y="9829800"/>
          <a:ext cx="2505075" cy="4000500"/>
        </a:xfrm>
        <a:prstGeom prst="rect">
          <a:avLst/>
        </a:prstGeom>
        <a:solidFill>
          <a:schemeClr val="bg2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Budget amendment made</a:t>
          </a:r>
          <a:r>
            <a:rPr lang="en-US" sz="1100" baseline="0"/>
            <a:t> in 2016 to move $715,000 from Comprehensive Beach Management to the Public Safety Category. The Public Safety Budget was 100% spent and the intent is to use this transferred money to help fund  1/2 of the Fire Truck in FY2020.</a:t>
          </a:r>
        </a:p>
        <a:p>
          <a:r>
            <a:rPr lang="en-US" sz="1100" b="1" baseline="0"/>
            <a:t>The balance in Public Safety is now $341,657 based on the current 15 year budget due to the purchase of the ambulance in FY17.</a:t>
          </a:r>
          <a:endParaRPr lang="en-US" sz="1100" b="1"/>
        </a:p>
      </xdr:txBody>
    </xdr:sp>
    <xdr:clientData/>
  </xdr:twoCellAnchor>
  <xdr:twoCellAnchor>
    <xdr:from>
      <xdr:col>6</xdr:col>
      <xdr:colOff>647700</xdr:colOff>
      <xdr:row>35</xdr:row>
      <xdr:rowOff>114300</xdr:rowOff>
    </xdr:from>
    <xdr:to>
      <xdr:col>7</xdr:col>
      <xdr:colOff>1114425</xdr:colOff>
      <xdr:row>47</xdr:row>
      <xdr:rowOff>104775</xdr:rowOff>
    </xdr:to>
    <xdr:sp macro="" textlink="">
      <xdr:nvSpPr>
        <xdr:cNvPr id="4" name="TextBox 3"/>
        <xdr:cNvSpPr txBox="1"/>
      </xdr:nvSpPr>
      <xdr:spPr>
        <a:xfrm>
          <a:off x="6762750" y="12782550"/>
          <a:ext cx="1704975" cy="2847975"/>
        </a:xfrm>
        <a:prstGeom prst="rect">
          <a:avLst/>
        </a:prstGeom>
        <a:solidFill>
          <a:schemeClr val="bg2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Using an</a:t>
          </a:r>
          <a:r>
            <a:rPr lang="en-US" sz="1100" baseline="0"/>
            <a:t> excel forecasting model, the esimated Sarasota County surtax revenue is projected to increase by 7% from 2017 to 2024. ($4.6 million since inception and another $4.9 million projected.)  We used the lower confidence model to be conservative and this provides a potential of $1.4 million more in spending than originally thought.</a:t>
          </a:r>
          <a:endParaRPr lang="en-US" sz="1100"/>
        </a:p>
      </xdr:txBody>
    </xdr:sp>
    <xdr:clientData/>
  </xdr:twoCellAnchor>
  <xdr:twoCellAnchor>
    <xdr:from>
      <xdr:col>9</xdr:col>
      <xdr:colOff>66675</xdr:colOff>
      <xdr:row>4</xdr:row>
      <xdr:rowOff>685800</xdr:rowOff>
    </xdr:from>
    <xdr:to>
      <xdr:col>9</xdr:col>
      <xdr:colOff>1555750</xdr:colOff>
      <xdr:row>11</xdr:row>
      <xdr:rowOff>19050</xdr:rowOff>
    </xdr:to>
    <xdr:sp macro="" textlink="">
      <xdr:nvSpPr>
        <xdr:cNvPr id="5" name="TextBox 4"/>
        <xdr:cNvSpPr txBox="1"/>
      </xdr:nvSpPr>
      <xdr:spPr>
        <a:xfrm>
          <a:off x="10839450" y="1638300"/>
          <a:ext cx="1489075" cy="3143250"/>
        </a:xfrm>
        <a:prstGeom prst="rect">
          <a:avLst/>
        </a:prstGeom>
        <a:solidFill>
          <a:schemeClr val="bg2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last column represents the balance available in each budget category available as of FY2017.</a:t>
          </a:r>
        </a:p>
        <a:p>
          <a:endParaRPr lang="en-US" sz="1100"/>
        </a:p>
        <a:p>
          <a:r>
            <a:rPr lang="en-US" sz="1100"/>
            <a:t>The available Fund Balance</a:t>
          </a:r>
          <a:r>
            <a:rPr lang="en-US" sz="1100" baseline="0"/>
            <a:t> for budgeting FY18 projects is as follows:</a:t>
          </a:r>
        </a:p>
        <a:p>
          <a:endParaRPr lang="en-US" sz="1100" baseline="0"/>
        </a:p>
        <a:p>
          <a:r>
            <a:rPr lang="en-US" sz="1100" baseline="0"/>
            <a:t>$573,300 Fund Balance</a:t>
          </a:r>
        </a:p>
        <a:p>
          <a:r>
            <a:rPr lang="en-US" sz="1100" baseline="0"/>
            <a:t>$650,000 FY18 Income</a:t>
          </a:r>
        </a:p>
        <a:p>
          <a:r>
            <a:rPr lang="en-US" sz="1100" baseline="0"/>
            <a:t>-------------</a:t>
          </a:r>
        </a:p>
        <a:p>
          <a:r>
            <a:rPr lang="en-US" sz="1100" baseline="0"/>
            <a:t>$1,223,300</a:t>
          </a: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01Sue/All%20Funds%20Report/All%20Fund%20Reports%202017/September%2030/Sept%2030,%202017%20pre-au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Funds"/>
      <sheetName val="1000 Summary"/>
      <sheetName val="GF Summary"/>
      <sheetName val="GF Exp"/>
      <sheetName val="GF Rev"/>
      <sheetName val="Transfers"/>
      <sheetName val="CHART"/>
      <sheetName val="101"/>
      <sheetName val="102"/>
      <sheetName val="103DONOTUSE"/>
      <sheetName val="104"/>
      <sheetName val="105"/>
      <sheetName val="106"/>
      <sheetName val="107DONOTUSE"/>
      <sheetName val="108"/>
      <sheetName val="110"/>
      <sheetName val="111"/>
      <sheetName val="112"/>
      <sheetName val="113"/>
      <sheetName val="114"/>
      <sheetName val="115"/>
      <sheetName val="134"/>
      <sheetName val="202"/>
      <sheetName val="203"/>
      <sheetName val="204"/>
      <sheetName val="205DONOTUSE"/>
      <sheetName val="301"/>
      <sheetName val="302"/>
      <sheetName val="303"/>
      <sheetName val="304"/>
      <sheetName val="304-old"/>
      <sheetName val="305"/>
      <sheetName val="306"/>
      <sheetName val="307"/>
      <sheetName val="308"/>
      <sheetName val="401"/>
      <sheetName val="402"/>
      <sheetName val="404"/>
      <sheetName val="UTILITES_CONSOLIDATED"/>
      <sheetName val="601"/>
      <sheetName val="602"/>
      <sheetName val="603"/>
      <sheetName val="Pensions"/>
      <sheetName val="604-625"/>
      <sheetName val="Fund 605 detail"/>
    </sheetNames>
    <sheetDataSet>
      <sheetData sheetId="0">
        <row r="1">
          <cell r="M1" t="str">
            <v>Sept 30, 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28" workbookViewId="0">
      <selection activeCell="B17" sqref="B17"/>
    </sheetView>
  </sheetViews>
  <sheetFormatPr defaultColWidth="9.140625" defaultRowHeight="18.75" x14ac:dyDescent="0.25"/>
  <cols>
    <col min="1" max="1" width="26.28515625" style="51" customWidth="1"/>
    <col min="2" max="2" width="40.7109375" style="53" customWidth="1"/>
    <col min="3" max="3" width="18.140625" style="53" customWidth="1"/>
    <col min="4" max="4" width="17.42578125" style="53" hidden="1" customWidth="1"/>
    <col min="5" max="5" width="22" style="53" hidden="1" customWidth="1"/>
    <col min="6" max="6" width="17.85546875" style="53" customWidth="1"/>
    <col min="7" max="7" width="18.5703125" style="53" customWidth="1"/>
    <col min="8" max="9" width="19.5703125" style="53" customWidth="1"/>
    <col min="10" max="10" width="24.85546875" style="65" customWidth="1"/>
    <col min="11" max="11" width="0.28515625" style="65" customWidth="1"/>
    <col min="12" max="13" width="9.140625" style="65"/>
    <col min="14" max="14" width="11.28515625" style="65" bestFit="1" customWidth="1"/>
    <col min="15" max="15" width="10.7109375" style="65" bestFit="1" customWidth="1"/>
    <col min="16" max="16" width="11.28515625" style="65" bestFit="1" customWidth="1"/>
    <col min="17" max="20" width="9.140625" style="65"/>
    <col min="21" max="21" width="19" style="65" bestFit="1" customWidth="1"/>
    <col min="22" max="22" width="16" style="65" bestFit="1" customWidth="1"/>
    <col min="23" max="23" width="22.7109375" style="65" customWidth="1"/>
    <col min="24" max="16384" width="9.140625" style="65"/>
  </cols>
  <sheetData>
    <row r="1" spans="1:16" x14ac:dyDescent="0.25">
      <c r="A1" s="63" t="s">
        <v>84</v>
      </c>
      <c r="B1" s="64"/>
      <c r="C1" s="64"/>
      <c r="D1" s="64"/>
      <c r="E1" s="64"/>
      <c r="F1" s="64"/>
      <c r="G1" s="64"/>
      <c r="H1" s="64"/>
      <c r="I1" s="64"/>
    </row>
    <row r="2" spans="1:16" x14ac:dyDescent="0.25">
      <c r="A2" s="63" t="s">
        <v>85</v>
      </c>
      <c r="B2" s="64"/>
      <c r="C2" s="64"/>
      <c r="D2" s="64"/>
      <c r="E2" s="64"/>
      <c r="F2" s="64"/>
      <c r="G2" s="64"/>
      <c r="H2" s="64"/>
      <c r="I2" s="64"/>
    </row>
    <row r="3" spans="1:16" x14ac:dyDescent="0.25">
      <c r="A3" s="63" t="s">
        <v>86</v>
      </c>
      <c r="B3" s="64"/>
      <c r="C3" s="64"/>
      <c r="D3" s="64"/>
      <c r="E3" s="64"/>
      <c r="F3" s="64"/>
      <c r="G3" s="64"/>
      <c r="H3" s="64"/>
      <c r="I3" s="64"/>
    </row>
    <row r="4" spans="1:16" x14ac:dyDescent="0.25">
      <c r="A4" s="66"/>
      <c r="B4" s="67"/>
      <c r="C4" s="67"/>
      <c r="D4" s="67"/>
      <c r="E4" s="67"/>
      <c r="F4" s="68"/>
      <c r="G4" s="68"/>
      <c r="H4" s="68"/>
      <c r="I4" s="69" t="s">
        <v>111</v>
      </c>
    </row>
    <row r="5" spans="1:16" ht="56.25" x14ac:dyDescent="0.25">
      <c r="A5" s="70" t="s">
        <v>87</v>
      </c>
      <c r="B5" s="70" t="s">
        <v>88</v>
      </c>
      <c r="C5" s="70" t="s">
        <v>89</v>
      </c>
      <c r="D5" s="70" t="s">
        <v>90</v>
      </c>
      <c r="E5" s="70" t="s">
        <v>91</v>
      </c>
      <c r="F5" s="70" t="s">
        <v>92</v>
      </c>
      <c r="G5" s="70" t="s">
        <v>93</v>
      </c>
      <c r="H5" s="70" t="s">
        <v>112</v>
      </c>
      <c r="I5" s="70" t="s">
        <v>93</v>
      </c>
    </row>
    <row r="6" spans="1:16" ht="56.25" x14ac:dyDescent="0.25">
      <c r="A6" s="71" t="s">
        <v>94</v>
      </c>
      <c r="B6" s="72" t="s">
        <v>95</v>
      </c>
      <c r="C6" s="87">
        <f>1730569-715000</f>
        <v>1015569</v>
      </c>
      <c r="D6" s="87"/>
      <c r="E6" s="87">
        <f>SUM(C6:D6)</f>
        <v>1015569</v>
      </c>
      <c r="F6" s="87">
        <v>-300000</v>
      </c>
      <c r="G6" s="86">
        <f>SUM(E6:F6)</f>
        <v>715569</v>
      </c>
      <c r="H6" s="87">
        <v>0</v>
      </c>
      <c r="I6" s="86">
        <f>(G6+H6)</f>
        <v>715569</v>
      </c>
      <c r="N6" s="65">
        <f>715000+715569</f>
        <v>1430569</v>
      </c>
      <c r="O6" s="65">
        <v>-715000</v>
      </c>
      <c r="P6" s="65">
        <f>SUM(N6:O6)</f>
        <v>715569</v>
      </c>
    </row>
    <row r="7" spans="1:16" ht="37.5" x14ac:dyDescent="0.25">
      <c r="A7" s="71" t="s">
        <v>96</v>
      </c>
      <c r="B7" s="72" t="s">
        <v>97</v>
      </c>
      <c r="C7" s="73">
        <v>0</v>
      </c>
      <c r="D7" s="73"/>
      <c r="E7" s="73">
        <f t="shared" ref="E7:E11" si="0">SUM(C7:D7)</f>
        <v>0</v>
      </c>
      <c r="F7" s="73">
        <v>0</v>
      </c>
      <c r="G7" s="74">
        <f t="shared" ref="G7:G11" si="1">SUM(E7:F7)</f>
        <v>0</v>
      </c>
      <c r="H7" s="73">
        <v>0</v>
      </c>
      <c r="I7" s="74">
        <f t="shared" ref="I7:I11" si="2">(G7+H7)</f>
        <v>0</v>
      </c>
      <c r="N7" s="65">
        <f>786657-715000</f>
        <v>71657</v>
      </c>
      <c r="O7" s="65">
        <v>715000</v>
      </c>
      <c r="P7" s="65">
        <f>SUM(N7:O7)</f>
        <v>786657</v>
      </c>
    </row>
    <row r="8" spans="1:16" ht="56.25" x14ac:dyDescent="0.25">
      <c r="A8" s="71" t="s">
        <v>98</v>
      </c>
      <c r="B8" s="72" t="s">
        <v>99</v>
      </c>
      <c r="C8" s="73">
        <v>2922000</v>
      </c>
      <c r="D8" s="73"/>
      <c r="E8" s="73">
        <f t="shared" si="0"/>
        <v>2922000</v>
      </c>
      <c r="F8" s="73">
        <f>-960000-34040</f>
        <v>-994040</v>
      </c>
      <c r="G8" s="74">
        <f t="shared" si="1"/>
        <v>1927960</v>
      </c>
      <c r="H8" s="73">
        <v>-337000</v>
      </c>
      <c r="I8" s="74">
        <f t="shared" si="2"/>
        <v>1590960</v>
      </c>
    </row>
    <row r="9" spans="1:16" x14ac:dyDescent="0.25">
      <c r="A9" s="71" t="s">
        <v>100</v>
      </c>
      <c r="B9" s="72" t="s">
        <v>101</v>
      </c>
      <c r="C9" s="73">
        <v>900000</v>
      </c>
      <c r="D9" s="73"/>
      <c r="E9" s="73">
        <f t="shared" si="0"/>
        <v>900000</v>
      </c>
      <c r="F9" s="73">
        <v>-200000</v>
      </c>
      <c r="G9" s="74">
        <f t="shared" si="1"/>
        <v>700000</v>
      </c>
      <c r="H9" s="73">
        <v>0</v>
      </c>
      <c r="I9" s="74">
        <f t="shared" si="2"/>
        <v>700000</v>
      </c>
    </row>
    <row r="10" spans="1:16" ht="37.5" x14ac:dyDescent="0.25">
      <c r="A10" s="71" t="s">
        <v>102</v>
      </c>
      <c r="B10" s="72" t="s">
        <v>103</v>
      </c>
      <c r="C10" s="73">
        <f>1588168+715000</f>
        <v>2303168</v>
      </c>
      <c r="D10" s="75"/>
      <c r="E10" s="73">
        <f t="shared" si="0"/>
        <v>2303168</v>
      </c>
      <c r="F10" s="73">
        <v>-1516511</v>
      </c>
      <c r="G10" s="74">
        <f t="shared" si="1"/>
        <v>786657</v>
      </c>
      <c r="H10" s="73">
        <v>-445000</v>
      </c>
      <c r="I10" s="74">
        <f t="shared" si="2"/>
        <v>341657</v>
      </c>
    </row>
    <row r="11" spans="1:16" ht="37.5" x14ac:dyDescent="0.25">
      <c r="A11" s="76" t="s">
        <v>104</v>
      </c>
      <c r="B11" s="77" t="s">
        <v>105</v>
      </c>
      <c r="C11" s="78">
        <v>922000</v>
      </c>
      <c r="D11" s="78"/>
      <c r="E11" s="78">
        <f t="shared" si="0"/>
        <v>922000</v>
      </c>
      <c r="F11" s="78">
        <v>-399935</v>
      </c>
      <c r="G11" s="79">
        <f t="shared" si="1"/>
        <v>522065</v>
      </c>
      <c r="H11" s="78">
        <v>-135000</v>
      </c>
      <c r="I11" s="74">
        <f t="shared" si="2"/>
        <v>387065</v>
      </c>
    </row>
    <row r="12" spans="1:16" x14ac:dyDescent="0.25">
      <c r="A12" s="80" t="s">
        <v>106</v>
      </c>
      <c r="B12" s="81"/>
      <c r="C12" s="88">
        <f t="shared" ref="C12:I12" si="3">SUM(C6:C11)</f>
        <v>8062737</v>
      </c>
      <c r="D12" s="82">
        <f t="shared" si="3"/>
        <v>0</v>
      </c>
      <c r="E12" s="82">
        <f t="shared" si="3"/>
        <v>8062737</v>
      </c>
      <c r="F12" s="82">
        <f t="shared" si="3"/>
        <v>-3410486</v>
      </c>
      <c r="G12" s="82">
        <f t="shared" si="3"/>
        <v>4652251</v>
      </c>
      <c r="H12" s="82">
        <f t="shared" si="3"/>
        <v>-917000</v>
      </c>
      <c r="I12" s="82">
        <f t="shared" si="3"/>
        <v>3735251</v>
      </c>
    </row>
    <row r="13" spans="1:16" x14ac:dyDescent="0.25">
      <c r="A13" s="89"/>
      <c r="B13" s="90"/>
      <c r="C13" s="91" t="s">
        <v>113</v>
      </c>
      <c r="D13" s="92"/>
      <c r="E13" s="92"/>
      <c r="F13" s="92"/>
      <c r="G13" s="92"/>
      <c r="H13" s="93">
        <v>637093</v>
      </c>
      <c r="I13" s="92"/>
    </row>
    <row r="14" spans="1:16" x14ac:dyDescent="0.25">
      <c r="A14" s="89" t="s">
        <v>114</v>
      </c>
      <c r="B14" s="94"/>
      <c r="C14" s="95"/>
      <c r="D14" s="95"/>
      <c r="E14" s="95"/>
      <c r="F14" s="95"/>
      <c r="G14" s="96">
        <v>853207</v>
      </c>
      <c r="H14" s="97">
        <f>SUM(H12:H13)</f>
        <v>-279907</v>
      </c>
      <c r="I14" s="96">
        <f>SUM(G14:H14)</f>
        <v>573300</v>
      </c>
    </row>
    <row r="15" spans="1:16" ht="45" x14ac:dyDescent="0.25">
      <c r="A15" s="98"/>
      <c r="B15" s="57"/>
      <c r="C15" s="95"/>
      <c r="D15" s="95"/>
      <c r="E15" s="95"/>
      <c r="F15" s="95"/>
      <c r="G15" s="99" t="s">
        <v>115</v>
      </c>
      <c r="H15" s="99" t="s">
        <v>116</v>
      </c>
      <c r="I15" s="99" t="s">
        <v>107</v>
      </c>
    </row>
    <row r="16" spans="1:16" s="85" customFormat="1" ht="11.25" customHeight="1" x14ac:dyDescent="0.25">
      <c r="A16" s="100"/>
      <c r="B16" s="101"/>
      <c r="C16" s="102"/>
      <c r="D16" s="102"/>
      <c r="E16" s="102"/>
      <c r="F16" s="101"/>
      <c r="G16" s="101"/>
      <c r="H16" s="101"/>
      <c r="I16" s="101"/>
      <c r="J16" s="103"/>
    </row>
    <row r="17" spans="1:10" ht="47.25" x14ac:dyDescent="0.25">
      <c r="A17" s="104" t="s">
        <v>117</v>
      </c>
      <c r="B17" s="105"/>
      <c r="C17" s="106" t="s">
        <v>118</v>
      </c>
      <c r="D17" s="105"/>
      <c r="E17" s="105"/>
      <c r="F17" s="105" t="s">
        <v>109</v>
      </c>
      <c r="G17" s="105"/>
      <c r="H17" s="105"/>
    </row>
    <row r="18" spans="1:10" x14ac:dyDescent="0.25">
      <c r="A18" s="105" t="s">
        <v>108</v>
      </c>
      <c r="B18" s="107" t="s">
        <v>119</v>
      </c>
      <c r="C18" s="107"/>
      <c r="D18" s="105"/>
      <c r="E18" s="105"/>
      <c r="F18" s="108">
        <v>15000</v>
      </c>
      <c r="G18" s="105"/>
      <c r="H18" s="105"/>
    </row>
    <row r="19" spans="1:10" x14ac:dyDescent="0.25">
      <c r="A19" s="105" t="s">
        <v>108</v>
      </c>
      <c r="B19" s="107" t="s">
        <v>120</v>
      </c>
      <c r="C19" s="107"/>
      <c r="D19" s="105"/>
      <c r="E19" s="105"/>
      <c r="F19" s="108">
        <v>60000</v>
      </c>
      <c r="G19" s="105"/>
      <c r="H19" s="105"/>
    </row>
    <row r="20" spans="1:10" x14ac:dyDescent="0.25">
      <c r="A20" s="105" t="s">
        <v>108</v>
      </c>
      <c r="B20" s="107" t="s">
        <v>121</v>
      </c>
      <c r="C20" s="107"/>
      <c r="D20" s="105"/>
      <c r="E20" s="105"/>
      <c r="F20" s="108">
        <v>10000</v>
      </c>
      <c r="G20" s="105"/>
      <c r="H20" s="105"/>
    </row>
    <row r="21" spans="1:10" x14ac:dyDescent="0.25">
      <c r="A21" s="105" t="s">
        <v>122</v>
      </c>
      <c r="B21" s="107" t="s">
        <v>123</v>
      </c>
      <c r="C21" s="107"/>
      <c r="D21" s="105"/>
      <c r="E21" s="105"/>
      <c r="F21" s="109">
        <v>3348</v>
      </c>
      <c r="G21" s="110"/>
      <c r="H21" s="105"/>
    </row>
    <row r="22" spans="1:10" ht="16.5" customHeight="1" x14ac:dyDescent="0.25">
      <c r="A22" s="111"/>
      <c r="B22" s="105"/>
      <c r="C22" s="106"/>
      <c r="D22" s="105"/>
      <c r="E22" s="105"/>
      <c r="F22" s="108">
        <f>SUM(F18:F21)</f>
        <v>88348</v>
      </c>
      <c r="G22" s="105"/>
      <c r="H22" s="105"/>
    </row>
    <row r="23" spans="1:10" ht="12" customHeight="1" x14ac:dyDescent="0.25">
      <c r="A23" s="112"/>
      <c r="B23" s="101"/>
      <c r="C23" s="113"/>
      <c r="D23" s="101"/>
      <c r="E23" s="101"/>
      <c r="F23" s="101"/>
      <c r="G23" s="101"/>
      <c r="H23" s="101"/>
      <c r="I23" s="101"/>
      <c r="J23" s="114"/>
    </row>
    <row r="24" spans="1:10" x14ac:dyDescent="0.25">
      <c r="A24" s="115" t="s">
        <v>124</v>
      </c>
      <c r="C24" s="54"/>
    </row>
    <row r="25" spans="1:10" x14ac:dyDescent="0.25">
      <c r="A25" s="180" t="s">
        <v>126</v>
      </c>
      <c r="B25" s="180"/>
      <c r="C25" s="180"/>
      <c r="D25" s="180"/>
      <c r="E25" s="180"/>
      <c r="F25" s="180"/>
      <c r="G25" s="180"/>
      <c r="H25" s="64"/>
      <c r="I25" s="64"/>
    </row>
    <row r="26" spans="1:10" x14ac:dyDescent="0.25">
      <c r="A26" s="180" t="s">
        <v>85</v>
      </c>
      <c r="B26" s="180"/>
      <c r="C26" s="180"/>
      <c r="D26" s="180"/>
      <c r="E26" s="180"/>
      <c r="F26" s="180"/>
      <c r="G26" s="180"/>
      <c r="H26" s="64"/>
      <c r="I26" s="64"/>
    </row>
    <row r="27" spans="1:10" x14ac:dyDescent="0.25">
      <c r="A27" s="180" t="s">
        <v>86</v>
      </c>
      <c r="B27" s="180"/>
      <c r="C27" s="180"/>
      <c r="D27" s="180"/>
      <c r="E27" s="180"/>
      <c r="F27" s="180"/>
      <c r="G27" s="180"/>
      <c r="H27" s="64"/>
      <c r="I27" s="64"/>
    </row>
    <row r="28" spans="1:10" ht="56.25" x14ac:dyDescent="0.25">
      <c r="A28" s="70" t="s">
        <v>126</v>
      </c>
      <c r="B28" s="70" t="s">
        <v>88</v>
      </c>
      <c r="C28" s="70" t="s">
        <v>127</v>
      </c>
      <c r="D28" s="70" t="s">
        <v>90</v>
      </c>
      <c r="E28" s="70" t="s">
        <v>91</v>
      </c>
      <c r="F28" s="70" t="s">
        <v>125</v>
      </c>
      <c r="G28" s="70" t="s">
        <v>110</v>
      </c>
    </row>
    <row r="29" spans="1:10" ht="56.25" x14ac:dyDescent="0.25">
      <c r="A29" s="71" t="s">
        <v>94</v>
      </c>
      <c r="B29" s="72" t="s">
        <v>95</v>
      </c>
      <c r="C29" s="87">
        <v>1430569</v>
      </c>
      <c r="D29" s="87"/>
      <c r="E29" s="87">
        <f>SUM(C29:D29)</f>
        <v>1430569</v>
      </c>
      <c r="F29" s="87">
        <v>-715000</v>
      </c>
      <c r="G29" s="86">
        <f>C29+F29</f>
        <v>715569</v>
      </c>
    </row>
    <row r="30" spans="1:10" ht="45.75" customHeight="1" x14ac:dyDescent="0.25">
      <c r="A30" s="116" t="s">
        <v>102</v>
      </c>
      <c r="B30" s="117" t="s">
        <v>103</v>
      </c>
      <c r="C30" s="118">
        <v>71657</v>
      </c>
      <c r="D30" s="119"/>
      <c r="E30" s="118">
        <f t="shared" ref="E30" si="4">SUM(C30:D30)</f>
        <v>71657</v>
      </c>
      <c r="F30" s="118">
        <v>715000</v>
      </c>
      <c r="G30" s="120">
        <f>C30+F30</f>
        <v>786657</v>
      </c>
    </row>
    <row r="31" spans="1:10" ht="13.5" customHeight="1" x14ac:dyDescent="0.25">
      <c r="A31" s="112"/>
      <c r="B31" s="101"/>
      <c r="C31" s="101"/>
      <c r="D31" s="101"/>
      <c r="E31" s="101"/>
      <c r="F31" s="101"/>
      <c r="G31" s="101"/>
      <c r="H31" s="101"/>
      <c r="I31" s="101"/>
      <c r="J31" s="114"/>
    </row>
    <row r="32" spans="1:10" x14ac:dyDescent="0.25">
      <c r="A32" s="44" t="s">
        <v>78</v>
      </c>
      <c r="B32" s="45"/>
      <c r="C32" s="46"/>
      <c r="D32" s="46"/>
      <c r="E32" s="46"/>
      <c r="F32" s="46"/>
      <c r="G32" s="46"/>
      <c r="H32" s="46"/>
      <c r="I32" s="46"/>
    </row>
    <row r="33" spans="1:9" x14ac:dyDescent="0.25">
      <c r="A33" s="47"/>
      <c r="B33" s="48"/>
      <c r="C33" s="49"/>
      <c r="D33" s="49"/>
      <c r="E33" s="49"/>
      <c r="F33" s="49"/>
      <c r="G33" s="83"/>
      <c r="H33" s="49"/>
      <c r="I33" s="83"/>
    </row>
    <row r="34" spans="1:9" x14ac:dyDescent="0.25">
      <c r="A34" s="50" t="s">
        <v>79</v>
      </c>
      <c r="B34" s="47" t="s">
        <v>80</v>
      </c>
      <c r="C34" s="49"/>
      <c r="D34" s="49"/>
      <c r="E34" s="49"/>
      <c r="F34" s="49"/>
      <c r="G34" s="84"/>
      <c r="H34" s="49"/>
      <c r="I34" s="84"/>
    </row>
    <row r="35" spans="1:9" x14ac:dyDescent="0.25">
      <c r="A35" s="51">
        <v>2009</v>
      </c>
      <c r="B35" s="52">
        <v>33584</v>
      </c>
      <c r="C35" s="53" t="s">
        <v>81</v>
      </c>
    </row>
    <row r="36" spans="1:9" x14ac:dyDescent="0.25">
      <c r="A36" s="51">
        <v>2010</v>
      </c>
      <c r="B36" s="54">
        <v>499998</v>
      </c>
      <c r="C36" s="53" t="s">
        <v>81</v>
      </c>
    </row>
    <row r="37" spans="1:9" x14ac:dyDescent="0.25">
      <c r="A37" s="51">
        <v>2011</v>
      </c>
      <c r="B37" s="54">
        <v>522189</v>
      </c>
      <c r="C37" s="53" t="s">
        <v>81</v>
      </c>
    </row>
    <row r="38" spans="1:9" x14ac:dyDescent="0.25">
      <c r="A38" s="51">
        <v>2012</v>
      </c>
      <c r="B38" s="54">
        <v>541034</v>
      </c>
      <c r="C38" s="53" t="s">
        <v>81</v>
      </c>
    </row>
    <row r="39" spans="1:9" x14ac:dyDescent="0.25">
      <c r="A39" s="51">
        <v>2013</v>
      </c>
      <c r="B39" s="54">
        <v>543276</v>
      </c>
      <c r="C39" s="53" t="s">
        <v>81</v>
      </c>
    </row>
    <row r="40" spans="1:9" x14ac:dyDescent="0.25">
      <c r="A40" s="51">
        <v>2014</v>
      </c>
      <c r="B40" s="54">
        <v>567058</v>
      </c>
      <c r="C40" s="53" t="s">
        <v>81</v>
      </c>
    </row>
    <row r="41" spans="1:9" x14ac:dyDescent="0.25">
      <c r="A41" s="51">
        <v>2015</v>
      </c>
      <c r="B41" s="54">
        <v>604404</v>
      </c>
      <c r="C41" s="53" t="s">
        <v>81</v>
      </c>
    </row>
    <row r="42" spans="1:9" x14ac:dyDescent="0.25">
      <c r="A42" s="51">
        <v>2016</v>
      </c>
      <c r="B42" s="54">
        <v>638229</v>
      </c>
      <c r="C42" s="53" t="s">
        <v>81</v>
      </c>
    </row>
    <row r="43" spans="1:9" x14ac:dyDescent="0.25">
      <c r="A43" s="51">
        <v>2017</v>
      </c>
      <c r="B43" s="54">
        <v>637093</v>
      </c>
      <c r="C43" s="53" t="s">
        <v>81</v>
      </c>
    </row>
    <row r="44" spans="1:9" x14ac:dyDescent="0.25">
      <c r="A44" s="55">
        <v>2018</v>
      </c>
      <c r="B44" s="56">
        <v>651316</v>
      </c>
      <c r="C44" s="57" t="s">
        <v>82</v>
      </c>
      <c r="F44" s="58">
        <v>2.2325360017134699E-2</v>
      </c>
    </row>
    <row r="45" spans="1:9" x14ac:dyDescent="0.25">
      <c r="A45" s="55">
        <v>2019</v>
      </c>
      <c r="B45" s="56">
        <v>667073</v>
      </c>
      <c r="C45" s="57" t="s">
        <v>82</v>
      </c>
      <c r="F45" s="58">
        <v>2.4192837728387317E-2</v>
      </c>
    </row>
    <row r="46" spans="1:9" x14ac:dyDescent="0.25">
      <c r="A46" s="55">
        <v>2020</v>
      </c>
      <c r="B46" s="56">
        <v>683678</v>
      </c>
      <c r="C46" s="57" t="s">
        <v>82</v>
      </c>
      <c r="F46" s="58">
        <v>2.4891847387120913E-2</v>
      </c>
    </row>
    <row r="47" spans="1:9" x14ac:dyDescent="0.25">
      <c r="A47" s="55">
        <v>2021</v>
      </c>
      <c r="B47" s="56">
        <v>700840</v>
      </c>
      <c r="C47" s="57" t="s">
        <v>82</v>
      </c>
      <c r="F47" s="58">
        <v>2.5102644547795094E-2</v>
      </c>
    </row>
    <row r="48" spans="1:9" x14ac:dyDescent="0.25">
      <c r="A48" s="55">
        <v>2022</v>
      </c>
      <c r="B48" s="56">
        <v>718405</v>
      </c>
      <c r="C48" s="57" t="s">
        <v>82</v>
      </c>
      <c r="F48" s="58">
        <v>2.5062089603068438E-2</v>
      </c>
    </row>
    <row r="49" spans="1:6" x14ac:dyDescent="0.25">
      <c r="A49" s="55">
        <v>2023</v>
      </c>
      <c r="B49" s="56">
        <v>736277</v>
      </c>
      <c r="C49" s="57" t="s">
        <v>82</v>
      </c>
      <c r="F49" s="58">
        <v>2.4878046480794724E-2</v>
      </c>
    </row>
    <row r="50" spans="1:6" x14ac:dyDescent="0.25">
      <c r="A50" s="55">
        <v>2024</v>
      </c>
      <c r="B50" s="59">
        <v>754395</v>
      </c>
      <c r="C50" s="57" t="s">
        <v>82</v>
      </c>
      <c r="F50" s="58">
        <v>2.4607525851432888E-2</v>
      </c>
    </row>
    <row r="51" spans="1:6" x14ac:dyDescent="0.25">
      <c r="B51" s="52">
        <f>SUM(B35:B50)</f>
        <v>9498849</v>
      </c>
    </row>
    <row r="52" spans="1:6" x14ac:dyDescent="0.25">
      <c r="A52" s="51" t="s">
        <v>83</v>
      </c>
      <c r="B52" s="60">
        <v>8062737</v>
      </c>
      <c r="C52" s="61"/>
    </row>
    <row r="53" spans="1:6" x14ac:dyDescent="0.25">
      <c r="B53" s="62">
        <f>(B51-B52)</f>
        <v>1436112</v>
      </c>
    </row>
  </sheetData>
  <mergeCells count="3">
    <mergeCell ref="A25:G25"/>
    <mergeCell ref="A26:G26"/>
    <mergeCell ref="A27:G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2" workbookViewId="0">
      <selection activeCell="I21" sqref="I21"/>
    </sheetView>
  </sheetViews>
  <sheetFormatPr defaultRowHeight="15" x14ac:dyDescent="0.25"/>
  <cols>
    <col min="1" max="1" width="3.28515625" style="121" customWidth="1"/>
    <col min="2" max="2" width="37.28515625" style="121" customWidth="1"/>
    <col min="3" max="3" width="14.85546875" style="121" customWidth="1"/>
    <col min="4" max="6" width="16" style="121" customWidth="1"/>
    <col min="7" max="16384" width="9.140625" style="121"/>
  </cols>
  <sheetData>
    <row r="1" spans="1:6" x14ac:dyDescent="0.25">
      <c r="A1" s="123"/>
      <c r="B1" s="123"/>
      <c r="C1" s="124" t="s">
        <v>27</v>
      </c>
      <c r="D1" s="124" t="s">
        <v>27</v>
      </c>
      <c r="E1" s="124" t="s">
        <v>27</v>
      </c>
      <c r="F1" s="124" t="s">
        <v>27</v>
      </c>
    </row>
    <row r="2" spans="1:6" x14ac:dyDescent="0.25">
      <c r="A2" s="123"/>
      <c r="B2" s="123"/>
      <c r="C2" s="124" t="s">
        <v>4</v>
      </c>
      <c r="D2" s="124" t="s">
        <v>4</v>
      </c>
      <c r="E2" s="124" t="s">
        <v>4</v>
      </c>
      <c r="F2" s="124" t="s">
        <v>4</v>
      </c>
    </row>
    <row r="3" spans="1:6" x14ac:dyDescent="0.25">
      <c r="A3" s="125"/>
      <c r="B3" s="123"/>
      <c r="C3" s="126" t="s">
        <v>64</v>
      </c>
      <c r="D3" s="126" t="s">
        <v>60</v>
      </c>
      <c r="E3" s="126" t="s">
        <v>63</v>
      </c>
      <c r="F3" s="126" t="s">
        <v>184</v>
      </c>
    </row>
    <row r="4" spans="1:6" x14ac:dyDescent="0.25">
      <c r="A4" s="125" t="s">
        <v>9</v>
      </c>
      <c r="B4" s="123"/>
      <c r="C4" s="124"/>
      <c r="D4" s="124"/>
      <c r="E4" s="124"/>
      <c r="F4" s="124"/>
    </row>
    <row r="5" spans="1:6" x14ac:dyDescent="0.25">
      <c r="A5" s="123"/>
      <c r="B5" s="123" t="s">
        <v>25</v>
      </c>
      <c r="C5" s="127">
        <v>567058</v>
      </c>
      <c r="D5" s="127">
        <v>604404</v>
      </c>
      <c r="E5" s="127">
        <v>638229</v>
      </c>
      <c r="F5" s="127">
        <v>653046</v>
      </c>
    </row>
    <row r="6" spans="1:6" x14ac:dyDescent="0.25">
      <c r="A6" s="123"/>
      <c r="B6" s="123" t="s">
        <v>65</v>
      </c>
      <c r="C6" s="128">
        <f>5673.19-804.57</f>
        <v>4868.62</v>
      </c>
      <c r="D6" s="128">
        <f>12636-1000</f>
        <v>11636</v>
      </c>
      <c r="E6" s="128">
        <f>4412.3-266.67</f>
        <v>4145.63</v>
      </c>
      <c r="F6" s="128">
        <v>5360</v>
      </c>
    </row>
    <row r="7" spans="1:6" x14ac:dyDescent="0.25">
      <c r="A7" s="123"/>
      <c r="B7" s="123" t="s">
        <v>26</v>
      </c>
      <c r="C7" s="129">
        <f>SUM(C5:C6)</f>
        <v>571926.62</v>
      </c>
      <c r="D7" s="129">
        <f>SUM(D5:D6)</f>
        <v>616040</v>
      </c>
      <c r="E7" s="129">
        <f>SUM(E5:E6)</f>
        <v>642374.63</v>
      </c>
      <c r="F7" s="129">
        <f>SUM(F5:F6)</f>
        <v>658406</v>
      </c>
    </row>
    <row r="8" spans="1:6" ht="9" customHeight="1" x14ac:dyDescent="0.25">
      <c r="A8" s="123"/>
      <c r="B8" s="123"/>
      <c r="C8" s="129"/>
      <c r="D8" s="129"/>
      <c r="E8" s="129"/>
      <c r="F8" s="129"/>
    </row>
    <row r="9" spans="1:6" x14ac:dyDescent="0.25">
      <c r="A9" s="125" t="s">
        <v>14</v>
      </c>
      <c r="B9" s="123"/>
      <c r="C9" s="129"/>
      <c r="D9" s="129"/>
      <c r="E9" s="129"/>
      <c r="F9" s="129"/>
    </row>
    <row r="10" spans="1:6" x14ac:dyDescent="0.25">
      <c r="A10" s="123"/>
      <c r="B10" s="123" t="s">
        <v>34</v>
      </c>
      <c r="C10" s="129"/>
      <c r="D10" s="129">
        <v>43820</v>
      </c>
      <c r="E10" s="129"/>
      <c r="F10" s="129"/>
    </row>
    <row r="11" spans="1:6" x14ac:dyDescent="0.25">
      <c r="A11" s="123"/>
      <c r="B11" s="123" t="s">
        <v>30</v>
      </c>
      <c r="C11" s="129"/>
      <c r="D11" s="129">
        <v>23431</v>
      </c>
      <c r="E11" s="129"/>
      <c r="F11" s="129"/>
    </row>
    <row r="12" spans="1:6" x14ac:dyDescent="0.25">
      <c r="A12" s="123"/>
      <c r="B12" s="123" t="s">
        <v>200</v>
      </c>
      <c r="C12" s="129"/>
      <c r="D12" s="129"/>
      <c r="E12" s="129"/>
      <c r="F12" s="129">
        <v>64196</v>
      </c>
    </row>
    <row r="13" spans="1:6" x14ac:dyDescent="0.25">
      <c r="A13" s="123"/>
      <c r="B13" s="123" t="s">
        <v>31</v>
      </c>
      <c r="C13" s="129"/>
      <c r="D13" s="129">
        <v>77125</v>
      </c>
      <c r="E13" s="129">
        <v>4337</v>
      </c>
      <c r="F13" s="129"/>
    </row>
    <row r="14" spans="1:6" x14ac:dyDescent="0.25">
      <c r="A14" s="123"/>
      <c r="B14" s="123" t="s">
        <v>32</v>
      </c>
      <c r="C14" s="129">
        <v>85907</v>
      </c>
      <c r="D14" s="129">
        <v>53251</v>
      </c>
      <c r="E14" s="129"/>
      <c r="F14" s="129"/>
    </row>
    <row r="15" spans="1:6" x14ac:dyDescent="0.25">
      <c r="A15" s="123"/>
      <c r="B15" s="123" t="s">
        <v>66</v>
      </c>
      <c r="C15" s="129">
        <v>7426</v>
      </c>
      <c r="D15" s="129"/>
      <c r="E15" s="129"/>
      <c r="F15" s="129"/>
    </row>
    <row r="16" spans="1:6" x14ac:dyDescent="0.25">
      <c r="A16" s="123"/>
      <c r="B16" s="123" t="s">
        <v>33</v>
      </c>
      <c r="C16" s="129">
        <v>3851</v>
      </c>
      <c r="D16" s="129">
        <v>6828</v>
      </c>
      <c r="E16" s="129">
        <v>7700</v>
      </c>
      <c r="F16" s="129"/>
    </row>
    <row r="17" spans="1:6" x14ac:dyDescent="0.25">
      <c r="A17" s="123"/>
      <c r="B17" s="123" t="s">
        <v>35</v>
      </c>
      <c r="C17" s="129"/>
      <c r="D17" s="129">
        <v>22470</v>
      </c>
      <c r="E17" s="129">
        <v>2530</v>
      </c>
      <c r="F17" s="129"/>
    </row>
    <row r="18" spans="1:6" x14ac:dyDescent="0.25">
      <c r="A18" s="123"/>
      <c r="B18" s="123" t="s">
        <v>71</v>
      </c>
      <c r="C18" s="129"/>
      <c r="D18" s="129"/>
      <c r="E18" s="129">
        <v>960000</v>
      </c>
      <c r="F18" s="129">
        <v>300000</v>
      </c>
    </row>
    <row r="19" spans="1:6" x14ac:dyDescent="0.25">
      <c r="A19" s="123"/>
      <c r="B19" s="123" t="s">
        <v>202</v>
      </c>
      <c r="C19" s="129"/>
      <c r="D19" s="129"/>
      <c r="E19" s="129"/>
      <c r="F19" s="129">
        <v>29734</v>
      </c>
    </row>
    <row r="20" spans="1:6" x14ac:dyDescent="0.25">
      <c r="A20" s="123"/>
      <c r="B20" s="123" t="s">
        <v>203</v>
      </c>
      <c r="C20" s="129"/>
      <c r="D20" s="129"/>
      <c r="E20" s="129"/>
      <c r="F20" s="129">
        <v>7266</v>
      </c>
    </row>
    <row r="21" spans="1:6" x14ac:dyDescent="0.25">
      <c r="A21" s="123"/>
      <c r="B21" s="123" t="s">
        <v>72</v>
      </c>
      <c r="C21" s="129"/>
      <c r="D21" s="129"/>
      <c r="E21" s="129">
        <v>200000</v>
      </c>
      <c r="F21" s="129"/>
    </row>
    <row r="22" spans="1:6" x14ac:dyDescent="0.25">
      <c r="A22" s="123"/>
      <c r="B22" s="123" t="s">
        <v>62</v>
      </c>
      <c r="C22" s="129"/>
      <c r="D22" s="129">
        <v>179868</v>
      </c>
      <c r="E22" s="129"/>
      <c r="F22" s="129"/>
    </row>
    <row r="23" spans="1:6" x14ac:dyDescent="0.25">
      <c r="A23" s="123"/>
      <c r="B23" s="123" t="s">
        <v>201</v>
      </c>
      <c r="C23" s="129"/>
      <c r="D23" s="129"/>
      <c r="E23" s="129"/>
      <c r="F23" s="129">
        <v>21624</v>
      </c>
    </row>
    <row r="24" spans="1:6" x14ac:dyDescent="0.25">
      <c r="A24" s="123"/>
      <c r="B24" s="123" t="s">
        <v>69</v>
      </c>
      <c r="C24" s="129">
        <f>126143+88773</f>
        <v>214916</v>
      </c>
      <c r="D24" s="129"/>
      <c r="E24" s="129"/>
      <c r="F24" s="129">
        <v>99983</v>
      </c>
    </row>
    <row r="25" spans="1:6" x14ac:dyDescent="0.25">
      <c r="A25" s="123"/>
      <c r="B25" s="123" t="s">
        <v>70</v>
      </c>
      <c r="C25" s="129"/>
      <c r="D25" s="129"/>
      <c r="E25" s="129">
        <v>76653</v>
      </c>
      <c r="F25" s="129"/>
    </row>
    <row r="26" spans="1:6" x14ac:dyDescent="0.25">
      <c r="A26" s="123"/>
      <c r="B26" s="123" t="s">
        <v>61</v>
      </c>
      <c r="C26" s="130">
        <v>0</v>
      </c>
      <c r="D26" s="130">
        <v>99000</v>
      </c>
      <c r="E26" s="130">
        <v>0</v>
      </c>
      <c r="F26" s="130">
        <v>22053</v>
      </c>
    </row>
    <row r="27" spans="1:6" x14ac:dyDescent="0.25">
      <c r="A27" s="123"/>
      <c r="B27" s="123" t="s">
        <v>28</v>
      </c>
      <c r="C27" s="129">
        <f>SUM(C10:C26)</f>
        <v>312100</v>
      </c>
      <c r="D27" s="129">
        <f>SUM(D10:D26)</f>
        <v>505793</v>
      </c>
      <c r="E27" s="129">
        <f>SUM(E10:E26)</f>
        <v>1251220</v>
      </c>
      <c r="F27" s="129">
        <f>SUM(F10:F26)</f>
        <v>544856</v>
      </c>
    </row>
    <row r="28" spans="1:6" ht="9.6" customHeight="1" x14ac:dyDescent="0.25">
      <c r="A28" s="123"/>
      <c r="B28" s="123"/>
      <c r="C28" s="129"/>
      <c r="D28" s="129"/>
      <c r="E28" s="129"/>
      <c r="F28" s="129"/>
    </row>
    <row r="29" spans="1:6" ht="17.25" x14ac:dyDescent="0.4">
      <c r="A29" s="123" t="s">
        <v>29</v>
      </c>
      <c r="B29" s="123"/>
      <c r="C29" s="131">
        <f>(C7-C27)</f>
        <v>259826.62</v>
      </c>
      <c r="D29" s="131">
        <f>(D7-D27)</f>
        <v>110247</v>
      </c>
      <c r="E29" s="131">
        <f>(E7-E27)</f>
        <v>-608845.37</v>
      </c>
      <c r="F29" s="131">
        <f>(F7-F27)</f>
        <v>113550</v>
      </c>
    </row>
    <row r="30" spans="1:6" ht="9.6" customHeight="1" x14ac:dyDescent="0.25">
      <c r="A30" s="123"/>
      <c r="B30" s="123"/>
      <c r="C30" s="129"/>
      <c r="D30" s="129"/>
      <c r="E30" s="129"/>
      <c r="F30" s="129"/>
    </row>
    <row r="31" spans="1:6" x14ac:dyDescent="0.25">
      <c r="A31" s="125" t="s">
        <v>67</v>
      </c>
      <c r="B31" s="123"/>
      <c r="C31" s="129">
        <v>1091978</v>
      </c>
      <c r="D31" s="129">
        <v>1351803</v>
      </c>
      <c r="E31" s="129">
        <f>(D33)</f>
        <v>1462050</v>
      </c>
      <c r="F31" s="129">
        <f>(E33)</f>
        <v>853204.63</v>
      </c>
    </row>
    <row r="32" spans="1:6" ht="8.4499999999999993" customHeight="1" x14ac:dyDescent="0.25">
      <c r="A32" s="125"/>
      <c r="B32" s="123"/>
      <c r="C32" s="129"/>
      <c r="D32" s="129"/>
      <c r="E32" s="129"/>
      <c r="F32" s="129"/>
    </row>
    <row r="33" spans="1:6" ht="17.25" x14ac:dyDescent="0.4">
      <c r="A33" s="125" t="s">
        <v>68</v>
      </c>
      <c r="B33" s="123"/>
      <c r="C33" s="132">
        <f>(C29+C31)</f>
        <v>1351804.62</v>
      </c>
      <c r="D33" s="132">
        <f>(D29+D31)</f>
        <v>1462050</v>
      </c>
      <c r="E33" s="132">
        <f>(E29+E31)</f>
        <v>853204.63</v>
      </c>
      <c r="F33" s="132">
        <f>(F29+F31)</f>
        <v>966754.63</v>
      </c>
    </row>
    <row r="34" spans="1:6" x14ac:dyDescent="0.25">
      <c r="A34" s="123"/>
      <c r="B34" s="123"/>
      <c r="C34" s="129"/>
      <c r="D34" s="129"/>
      <c r="E34" s="129"/>
      <c r="F34" s="129"/>
    </row>
    <row r="35" spans="1:6" x14ac:dyDescent="0.25">
      <c r="C35" s="122"/>
      <c r="D35" s="122"/>
      <c r="E35" s="122"/>
      <c r="F35" s="12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77"/>
  <sheetViews>
    <sheetView zoomScaleNormal="100" workbookViewId="0">
      <pane ySplit="5" topLeftCell="A6" activePane="bottomLeft" state="frozen"/>
      <selection pane="bottomLeft" activeCell="G48" sqref="G48"/>
    </sheetView>
  </sheetViews>
  <sheetFormatPr defaultColWidth="9.140625" defaultRowHeight="14.25" x14ac:dyDescent="0.2"/>
  <cols>
    <col min="1" max="1" width="5.85546875" style="4" customWidth="1"/>
    <col min="2" max="2" width="7.7109375" style="4" customWidth="1"/>
    <col min="3" max="3" width="31.140625" style="4" customWidth="1"/>
    <col min="4" max="4" width="1.5703125" style="4" customWidth="1"/>
    <col min="5" max="5" width="19.7109375" style="17" customWidth="1"/>
    <col min="6" max="6" width="1.28515625" style="17" customWidth="1"/>
    <col min="7" max="7" width="19.7109375" style="17" customWidth="1"/>
    <col min="8" max="8" width="1.28515625" style="17" customWidth="1"/>
    <col min="9" max="9" width="19.7109375" style="17" customWidth="1"/>
    <col min="10" max="10" width="1.42578125" style="17" customWidth="1"/>
    <col min="11" max="11" width="17" style="4" customWidth="1"/>
    <col min="12" max="12" width="1.7109375" style="4" customWidth="1"/>
    <col min="13" max="13" width="17" style="4" customWidth="1"/>
    <col min="14" max="14" width="1.85546875" style="5" customWidth="1"/>
    <col min="15" max="16" width="17" style="4" customWidth="1"/>
    <col min="17" max="16384" width="9.140625" style="4"/>
  </cols>
  <sheetData>
    <row r="1" spans="1:19" ht="15" x14ac:dyDescent="0.25">
      <c r="A1" s="1" t="s">
        <v>0</v>
      </c>
      <c r="B1" s="1"/>
      <c r="C1" s="1"/>
      <c r="D1" s="2"/>
      <c r="E1" s="3"/>
      <c r="F1" s="3"/>
      <c r="G1" s="3"/>
      <c r="H1" s="3"/>
      <c r="I1" s="3"/>
      <c r="J1" s="3"/>
      <c r="P1" s="6" t="s">
        <v>1</v>
      </c>
    </row>
    <row r="2" spans="1:19" ht="15" x14ac:dyDescent="0.25">
      <c r="A2" s="1" t="s">
        <v>2</v>
      </c>
      <c r="B2" s="1"/>
      <c r="C2" s="1"/>
      <c r="D2" s="2"/>
      <c r="E2" s="3"/>
      <c r="F2" s="3"/>
      <c r="G2" s="3"/>
      <c r="H2" s="3"/>
      <c r="I2" s="3"/>
      <c r="J2" s="3"/>
      <c r="P2" s="6"/>
    </row>
    <row r="3" spans="1:19" ht="15" x14ac:dyDescent="0.25">
      <c r="A3" s="1"/>
      <c r="B3" s="1"/>
      <c r="C3" s="1"/>
      <c r="D3" s="2"/>
      <c r="E3" s="3"/>
      <c r="F3" s="3"/>
      <c r="G3" s="162" t="str">
        <f>('[1]All Funds'!$M$1)</f>
        <v>Sept 30, 2017</v>
      </c>
      <c r="H3" s="3"/>
      <c r="I3" s="7"/>
      <c r="J3" s="3"/>
      <c r="M3" s="7"/>
      <c r="O3" s="8"/>
      <c r="P3" s="6"/>
    </row>
    <row r="4" spans="1:19" ht="15" x14ac:dyDescent="0.25">
      <c r="D4" s="2"/>
      <c r="E4" s="34" t="s">
        <v>3</v>
      </c>
      <c r="F4" s="9"/>
      <c r="G4" s="10" t="s">
        <v>4</v>
      </c>
      <c r="H4" s="9"/>
      <c r="I4" s="10" t="s">
        <v>4</v>
      </c>
      <c r="J4" s="9"/>
      <c r="K4" s="10" t="s">
        <v>4</v>
      </c>
      <c r="M4" s="10" t="s">
        <v>4</v>
      </c>
      <c r="N4" s="11"/>
      <c r="O4" s="10" t="s">
        <v>4</v>
      </c>
      <c r="P4" s="10" t="s">
        <v>4</v>
      </c>
    </row>
    <row r="5" spans="1:19" x14ac:dyDescent="0.2">
      <c r="B5" s="4" t="s">
        <v>159</v>
      </c>
      <c r="E5" s="35" t="s">
        <v>160</v>
      </c>
      <c r="F5" s="12"/>
      <c r="G5" s="12" t="s">
        <v>160</v>
      </c>
      <c r="H5" s="12"/>
      <c r="I5" s="12" t="s">
        <v>73</v>
      </c>
      <c r="J5" s="13"/>
      <c r="K5" s="12" t="s">
        <v>36</v>
      </c>
      <c r="M5" s="12" t="s">
        <v>5</v>
      </c>
      <c r="N5" s="13"/>
      <c r="O5" s="12" t="s">
        <v>6</v>
      </c>
      <c r="P5" s="12" t="s">
        <v>7</v>
      </c>
    </row>
    <row r="6" spans="1:19" x14ac:dyDescent="0.2">
      <c r="E6" s="36"/>
      <c r="G6" s="4"/>
      <c r="I6" s="4"/>
    </row>
    <row r="7" spans="1:19" s="14" customFormat="1" x14ac:dyDescent="0.2">
      <c r="A7" s="14" t="s">
        <v>8</v>
      </c>
      <c r="E7" s="37">
        <f>(I56)</f>
        <v>853205.79</v>
      </c>
      <c r="F7" s="15"/>
      <c r="G7" s="15">
        <f>(I56)</f>
        <v>853205.79</v>
      </c>
      <c r="H7" s="15"/>
      <c r="I7" s="15">
        <f>(K56)</f>
        <v>1462051.3199999998</v>
      </c>
      <c r="J7" s="15"/>
      <c r="K7" s="15">
        <f>(M56)</f>
        <v>1351804.17</v>
      </c>
      <c r="M7" s="15">
        <f>(O56)</f>
        <v>1091977.98</v>
      </c>
      <c r="N7" s="16"/>
      <c r="O7" s="15">
        <f>(P56)</f>
        <v>1262892.94</v>
      </c>
      <c r="P7" s="15">
        <v>831781</v>
      </c>
    </row>
    <row r="8" spans="1:19" x14ac:dyDescent="0.2">
      <c r="E8" s="36"/>
      <c r="K8" s="17"/>
      <c r="M8" s="17"/>
      <c r="N8" s="18"/>
      <c r="O8" s="17"/>
      <c r="P8" s="17"/>
    </row>
    <row r="9" spans="1:19" x14ac:dyDescent="0.2">
      <c r="A9" s="4" t="s">
        <v>9</v>
      </c>
      <c r="E9" s="36"/>
      <c r="K9" s="17"/>
      <c r="M9" s="17"/>
      <c r="N9" s="18"/>
      <c r="O9" s="17"/>
      <c r="P9" s="17"/>
    </row>
    <row r="10" spans="1:19" x14ac:dyDescent="0.2">
      <c r="C10" s="4" t="s">
        <v>10</v>
      </c>
      <c r="E10" s="36">
        <v>616818</v>
      </c>
      <c r="G10" s="17">
        <v>653045.91</v>
      </c>
      <c r="I10" s="17">
        <v>638229.38</v>
      </c>
      <c r="K10" s="17">
        <v>604403.5</v>
      </c>
      <c r="M10" s="17">
        <v>567058.4</v>
      </c>
      <c r="N10" s="18"/>
      <c r="O10" s="17">
        <v>543276.19999999995</v>
      </c>
      <c r="P10" s="17">
        <v>541033.93999999994</v>
      </c>
    </row>
    <row r="11" spans="1:19" x14ac:dyDescent="0.2">
      <c r="C11" s="4" t="s">
        <v>11</v>
      </c>
      <c r="E11" s="36">
        <v>7410</v>
      </c>
      <c r="G11" s="19">
        <v>5749.06</v>
      </c>
      <c r="I11" s="19">
        <v>4412.3</v>
      </c>
      <c r="K11" s="19">
        <v>12635.94</v>
      </c>
      <c r="M11" s="19">
        <v>5673.19</v>
      </c>
      <c r="N11" s="18"/>
      <c r="O11" s="19">
        <v>3871.5</v>
      </c>
      <c r="P11" s="17">
        <v>10078</v>
      </c>
    </row>
    <row r="12" spans="1:19" ht="7.5" customHeight="1" x14ac:dyDescent="0.2">
      <c r="E12" s="38"/>
      <c r="F12" s="18"/>
      <c r="G12" s="20"/>
      <c r="H12" s="18"/>
      <c r="I12" s="20"/>
      <c r="J12" s="18"/>
      <c r="K12" s="20"/>
      <c r="M12" s="20"/>
      <c r="N12" s="18"/>
      <c r="O12" s="20">
        <v>0</v>
      </c>
      <c r="P12" s="20">
        <v>0</v>
      </c>
    </row>
    <row r="13" spans="1:19" x14ac:dyDescent="0.2">
      <c r="E13" s="36"/>
      <c r="K13" s="17"/>
      <c r="M13" s="17"/>
      <c r="N13" s="18"/>
      <c r="O13" s="17"/>
      <c r="P13" s="17"/>
    </row>
    <row r="14" spans="1:19" x14ac:dyDescent="0.2">
      <c r="A14" s="4" t="s">
        <v>13</v>
      </c>
      <c r="E14" s="36">
        <f>SUM(E10:E12)</f>
        <v>624228</v>
      </c>
      <c r="G14" s="17">
        <f>SUM(G10:G12)</f>
        <v>658794.97000000009</v>
      </c>
      <c r="I14" s="17">
        <f>SUM(I10:I12)</f>
        <v>642641.68000000005</v>
      </c>
      <c r="K14" s="17">
        <f>SUM(K10:K12)</f>
        <v>617039.43999999994</v>
      </c>
      <c r="M14" s="17">
        <f>SUM(M10:M12)</f>
        <v>572731.59</v>
      </c>
      <c r="N14" s="18"/>
      <c r="O14" s="17">
        <f>SUM(O10:O12)</f>
        <v>547147.69999999995</v>
      </c>
      <c r="P14" s="17">
        <f>SUM(P10:P12)</f>
        <v>551111.93999999994</v>
      </c>
    </row>
    <row r="15" spans="1:19" x14ac:dyDescent="0.2">
      <c r="E15" s="36"/>
      <c r="K15" s="17"/>
      <c r="M15" s="17"/>
      <c r="N15" s="18"/>
      <c r="O15" s="17"/>
      <c r="P15" s="17"/>
    </row>
    <row r="16" spans="1:19" x14ac:dyDescent="0.2">
      <c r="A16" s="4" t="s">
        <v>14</v>
      </c>
      <c r="E16" s="36"/>
      <c r="K16" s="17"/>
      <c r="M16" s="17"/>
      <c r="N16" s="18"/>
      <c r="O16" s="17"/>
      <c r="P16" s="17"/>
      <c r="S16" s="21"/>
    </row>
    <row r="17" spans="1:19" x14ac:dyDescent="0.2">
      <c r="C17" s="4" t="s">
        <v>37</v>
      </c>
      <c r="E17" s="39" t="s">
        <v>74</v>
      </c>
      <c r="F17" s="28"/>
      <c r="H17" s="28"/>
      <c r="K17" s="17"/>
      <c r="M17" s="17"/>
      <c r="N17" s="18"/>
      <c r="O17" s="17"/>
      <c r="P17" s="17"/>
      <c r="S17" s="21"/>
    </row>
    <row r="18" spans="1:19" x14ac:dyDescent="0.2">
      <c r="C18" s="4" t="s">
        <v>12</v>
      </c>
      <c r="E18" s="39">
        <v>2500</v>
      </c>
      <c r="F18" s="28"/>
      <c r="G18" s="17">
        <v>389.24</v>
      </c>
      <c r="H18" s="28"/>
      <c r="I18" s="17">
        <v>266.67</v>
      </c>
      <c r="K18" s="17">
        <v>999.6</v>
      </c>
      <c r="M18" s="17">
        <v>804.57</v>
      </c>
      <c r="N18" s="18"/>
      <c r="O18" s="17"/>
      <c r="P18" s="17"/>
      <c r="S18" s="21"/>
    </row>
    <row r="19" spans="1:19" x14ac:dyDescent="0.2">
      <c r="A19" s="22" t="s">
        <v>15</v>
      </c>
      <c r="B19" s="22"/>
      <c r="C19" s="4" t="s">
        <v>38</v>
      </c>
      <c r="E19" s="39"/>
      <c r="F19" s="28"/>
      <c r="H19" s="28"/>
      <c r="I19" s="17">
        <v>0</v>
      </c>
      <c r="K19" s="17">
        <v>53250.79</v>
      </c>
      <c r="M19" s="17">
        <v>85907.42</v>
      </c>
      <c r="N19" s="18"/>
      <c r="O19" s="17"/>
      <c r="P19" s="17"/>
      <c r="S19" s="21"/>
    </row>
    <row r="20" spans="1:19" x14ac:dyDescent="0.2">
      <c r="A20" s="22" t="s">
        <v>15</v>
      </c>
      <c r="B20" s="22"/>
      <c r="C20" s="4" t="s">
        <v>39</v>
      </c>
      <c r="E20" s="39"/>
      <c r="F20" s="28"/>
      <c r="H20" s="28"/>
      <c r="K20" s="17">
        <v>23430.94</v>
      </c>
      <c r="M20" s="17"/>
      <c r="N20" s="18"/>
      <c r="O20" s="17"/>
      <c r="P20" s="17"/>
      <c r="S20" s="21"/>
    </row>
    <row r="21" spans="1:19" ht="16.5" x14ac:dyDescent="0.2">
      <c r="A21" s="22" t="s">
        <v>15</v>
      </c>
      <c r="B21" s="22" t="s">
        <v>161</v>
      </c>
      <c r="C21" s="4" t="s">
        <v>162</v>
      </c>
      <c r="D21" s="23"/>
      <c r="E21" s="39">
        <v>150000</v>
      </c>
      <c r="F21" s="28"/>
      <c r="G21" s="17">
        <v>0</v>
      </c>
      <c r="H21" s="28"/>
      <c r="I21" s="17">
        <v>0</v>
      </c>
      <c r="K21" s="17"/>
      <c r="M21" s="17">
        <v>0</v>
      </c>
      <c r="N21" s="18"/>
      <c r="O21" s="17"/>
      <c r="P21" s="17"/>
      <c r="S21" s="21"/>
    </row>
    <row r="22" spans="1:19" ht="16.5" x14ac:dyDescent="0.2">
      <c r="A22" s="22" t="s">
        <v>15</v>
      </c>
      <c r="B22" s="22" t="s">
        <v>163</v>
      </c>
      <c r="C22" s="4" t="s">
        <v>164</v>
      </c>
      <c r="D22" s="23"/>
      <c r="E22" s="39">
        <v>80000</v>
      </c>
      <c r="F22" s="28"/>
      <c r="G22" s="17">
        <v>64196.14</v>
      </c>
      <c r="H22" s="28"/>
      <c r="K22" s="17"/>
      <c r="M22" s="17"/>
      <c r="N22" s="18"/>
      <c r="O22" s="17"/>
      <c r="P22" s="17"/>
      <c r="S22" s="21"/>
    </row>
    <row r="23" spans="1:19" x14ac:dyDescent="0.2">
      <c r="A23" s="22" t="s">
        <v>15</v>
      </c>
      <c r="B23" s="22"/>
      <c r="C23" s="4" t="s">
        <v>16</v>
      </c>
      <c r="E23" s="39">
        <v>0</v>
      </c>
      <c r="F23" s="28"/>
      <c r="H23" s="28"/>
      <c r="K23" s="17"/>
      <c r="M23" s="17">
        <v>7426.16</v>
      </c>
      <c r="N23" s="18"/>
      <c r="O23" s="17"/>
      <c r="P23" s="17"/>
      <c r="S23" s="21"/>
    </row>
    <row r="24" spans="1:19" x14ac:dyDescent="0.2">
      <c r="A24" s="22" t="s">
        <v>15</v>
      </c>
      <c r="B24" s="22" t="s">
        <v>165</v>
      </c>
      <c r="C24" s="4" t="s">
        <v>17</v>
      </c>
      <c r="E24" s="39">
        <v>7300</v>
      </c>
      <c r="F24" s="28"/>
      <c r="G24" s="17">
        <v>0</v>
      </c>
      <c r="H24" s="28"/>
      <c r="I24" s="17">
        <v>7700</v>
      </c>
      <c r="K24" s="17">
        <v>6828</v>
      </c>
      <c r="M24" s="17">
        <v>3851.09</v>
      </c>
      <c r="N24" s="18"/>
      <c r="O24" s="17"/>
      <c r="P24" s="17"/>
      <c r="S24" s="21"/>
    </row>
    <row r="25" spans="1:19" x14ac:dyDescent="0.2">
      <c r="A25" s="22" t="s">
        <v>15</v>
      </c>
      <c r="B25" s="22"/>
      <c r="C25" s="4" t="s">
        <v>40</v>
      </c>
      <c r="E25" s="39"/>
      <c r="F25" s="28"/>
      <c r="H25" s="28"/>
      <c r="K25" s="17"/>
      <c r="M25" s="17"/>
      <c r="N25" s="18"/>
      <c r="O25" s="17"/>
      <c r="P25" s="17"/>
      <c r="S25" s="21"/>
    </row>
    <row r="26" spans="1:19" x14ac:dyDescent="0.2">
      <c r="A26" s="22" t="s">
        <v>15</v>
      </c>
      <c r="B26" s="22"/>
      <c r="C26" s="4" t="s">
        <v>41</v>
      </c>
      <c r="E26" s="39"/>
      <c r="F26" s="28"/>
      <c r="H26" s="28"/>
      <c r="K26" s="17">
        <v>0</v>
      </c>
      <c r="M26" s="17"/>
      <c r="N26" s="18"/>
      <c r="O26" s="17"/>
      <c r="P26" s="17"/>
      <c r="S26" s="21"/>
    </row>
    <row r="27" spans="1:19" x14ac:dyDescent="0.2">
      <c r="A27" s="22" t="s">
        <v>15</v>
      </c>
      <c r="B27" s="22"/>
      <c r="C27" s="4" t="s">
        <v>42</v>
      </c>
      <c r="E27" s="39">
        <v>0</v>
      </c>
      <c r="F27" s="28"/>
      <c r="H27" s="28"/>
      <c r="K27" s="17">
        <v>0</v>
      </c>
      <c r="M27" s="17"/>
      <c r="N27" s="18"/>
      <c r="O27" s="17"/>
      <c r="P27" s="17"/>
      <c r="S27" s="21"/>
    </row>
    <row r="28" spans="1:19" x14ac:dyDescent="0.2">
      <c r="A28" s="22" t="s">
        <v>15</v>
      </c>
      <c r="B28" s="22" t="s">
        <v>166</v>
      </c>
      <c r="C28" s="4" t="s">
        <v>167</v>
      </c>
      <c r="E28" s="39">
        <v>0</v>
      </c>
      <c r="F28" s="28"/>
      <c r="H28" s="28"/>
      <c r="K28" s="17"/>
      <c r="M28" s="17"/>
      <c r="N28" s="18"/>
      <c r="O28" s="17"/>
      <c r="P28" s="17"/>
      <c r="S28" s="21"/>
    </row>
    <row r="29" spans="1:19" x14ac:dyDescent="0.2">
      <c r="A29" s="22" t="s">
        <v>15</v>
      </c>
      <c r="B29" s="22" t="s">
        <v>168</v>
      </c>
      <c r="C29" s="4" t="s">
        <v>169</v>
      </c>
      <c r="E29" s="39">
        <v>0</v>
      </c>
      <c r="F29" s="28"/>
      <c r="H29" s="28"/>
      <c r="K29" s="17"/>
      <c r="M29" s="17"/>
      <c r="N29" s="18"/>
      <c r="O29" s="17"/>
      <c r="P29" s="17"/>
      <c r="S29" s="21"/>
    </row>
    <row r="30" spans="1:19" x14ac:dyDescent="0.2">
      <c r="A30" s="22" t="s">
        <v>15</v>
      </c>
      <c r="B30" s="22"/>
      <c r="C30" s="4" t="s">
        <v>43</v>
      </c>
      <c r="E30" s="39"/>
      <c r="F30" s="28"/>
      <c r="H30" s="28"/>
      <c r="K30" s="17"/>
      <c r="M30" s="17"/>
      <c r="N30" s="18"/>
      <c r="O30" s="17"/>
      <c r="P30" s="17"/>
      <c r="S30" s="21"/>
    </row>
    <row r="31" spans="1:19" x14ac:dyDescent="0.2">
      <c r="A31" s="22" t="s">
        <v>15</v>
      </c>
      <c r="B31" s="22"/>
      <c r="C31" s="4" t="s">
        <v>18</v>
      </c>
      <c r="E31" s="39"/>
      <c r="F31" s="28"/>
      <c r="H31" s="28"/>
      <c r="I31" s="17">
        <v>4337.2299999999996</v>
      </c>
      <c r="K31" s="17">
        <v>77124.490000000005</v>
      </c>
      <c r="M31" s="17">
        <v>0</v>
      </c>
      <c r="N31" s="18"/>
      <c r="O31" s="17"/>
      <c r="P31" s="17"/>
      <c r="S31" s="21"/>
    </row>
    <row r="32" spans="1:19" x14ac:dyDescent="0.2">
      <c r="A32" s="22" t="s">
        <v>15</v>
      </c>
      <c r="B32" s="22" t="s">
        <v>170</v>
      </c>
      <c r="C32" s="4" t="s">
        <v>75</v>
      </c>
      <c r="E32" s="39">
        <v>20000</v>
      </c>
      <c r="F32" s="28"/>
      <c r="G32" s="17">
        <v>0</v>
      </c>
      <c r="H32" s="28"/>
      <c r="K32" s="17"/>
      <c r="M32" s="17"/>
      <c r="N32" s="18"/>
      <c r="O32" s="17"/>
      <c r="P32" s="17"/>
      <c r="S32" s="21"/>
    </row>
    <row r="33" spans="1:19" x14ac:dyDescent="0.2">
      <c r="A33" s="22" t="s">
        <v>15</v>
      </c>
      <c r="B33" s="22" t="s">
        <v>171</v>
      </c>
      <c r="C33" s="4" t="s">
        <v>172</v>
      </c>
      <c r="E33" s="39">
        <v>35000</v>
      </c>
      <c r="F33" s="28"/>
      <c r="G33" s="17">
        <v>0</v>
      </c>
      <c r="H33" s="28"/>
      <c r="K33" s="17"/>
      <c r="M33" s="17"/>
      <c r="N33" s="18"/>
      <c r="O33" s="17"/>
      <c r="P33" s="17"/>
      <c r="S33" s="21"/>
    </row>
    <row r="34" spans="1:19" ht="16.5" x14ac:dyDescent="0.2">
      <c r="A34" s="22" t="s">
        <v>15</v>
      </c>
      <c r="B34" s="22"/>
      <c r="C34" s="4" t="s">
        <v>44</v>
      </c>
      <c r="D34" s="23"/>
      <c r="E34" s="39"/>
      <c r="F34" s="28"/>
      <c r="H34" s="28"/>
      <c r="K34" s="17">
        <v>43820</v>
      </c>
      <c r="M34" s="17"/>
      <c r="N34" s="18"/>
      <c r="O34" s="17"/>
      <c r="P34" s="17"/>
      <c r="S34" s="21"/>
    </row>
    <row r="35" spans="1:19" s="30" customFormat="1" ht="16.5" x14ac:dyDescent="0.2">
      <c r="A35" s="29" t="s">
        <v>15</v>
      </c>
      <c r="B35" s="29"/>
      <c r="C35" s="30" t="s">
        <v>45</v>
      </c>
      <c r="D35" s="31"/>
      <c r="E35" s="40"/>
      <c r="F35" s="32"/>
      <c r="G35" s="20"/>
      <c r="H35" s="32"/>
      <c r="I35" s="20">
        <v>2530</v>
      </c>
      <c r="J35" s="20"/>
      <c r="K35" s="20">
        <v>22470</v>
      </c>
      <c r="M35" s="20"/>
      <c r="N35" s="20"/>
      <c r="O35" s="20"/>
      <c r="P35" s="20"/>
      <c r="S35" s="33"/>
    </row>
    <row r="36" spans="1:19" ht="16.5" x14ac:dyDescent="0.2">
      <c r="A36" s="22" t="s">
        <v>19</v>
      </c>
      <c r="B36" s="22"/>
      <c r="C36" s="4" t="s">
        <v>173</v>
      </c>
      <c r="D36" s="23"/>
      <c r="E36" s="39">
        <v>100000</v>
      </c>
      <c r="F36" s="28"/>
      <c r="G36" s="17">
        <v>99983.11</v>
      </c>
      <c r="H36" s="28"/>
      <c r="K36" s="17"/>
      <c r="M36" s="17">
        <f>126143.06+88773.1</f>
        <v>214916.16</v>
      </c>
      <c r="N36" s="18"/>
      <c r="O36" s="17"/>
      <c r="P36" s="17"/>
      <c r="Q36" s="4" t="s">
        <v>46</v>
      </c>
      <c r="S36" s="21"/>
    </row>
    <row r="37" spans="1:19" ht="16.5" x14ac:dyDescent="0.2">
      <c r="A37" s="22" t="s">
        <v>19</v>
      </c>
      <c r="B37" s="22"/>
      <c r="C37" s="4" t="s">
        <v>174</v>
      </c>
      <c r="D37" s="23"/>
      <c r="E37" s="39">
        <v>315000</v>
      </c>
      <c r="F37" s="28"/>
      <c r="G37" s="17">
        <v>21623.759999999998</v>
      </c>
      <c r="H37" s="28"/>
      <c r="K37" s="17"/>
      <c r="M37" s="17"/>
      <c r="N37" s="18"/>
      <c r="O37" s="17"/>
      <c r="P37" s="17"/>
      <c r="S37" s="21"/>
    </row>
    <row r="38" spans="1:19" ht="16.5" x14ac:dyDescent="0.2">
      <c r="A38" s="22" t="s">
        <v>19</v>
      </c>
      <c r="B38" s="22"/>
      <c r="C38" s="4" t="s">
        <v>47</v>
      </c>
      <c r="D38" s="23"/>
      <c r="E38" s="39">
        <v>0</v>
      </c>
      <c r="F38" s="28"/>
      <c r="H38" s="28"/>
      <c r="K38" s="17">
        <v>179868.47</v>
      </c>
      <c r="M38" s="17"/>
      <c r="N38" s="18"/>
      <c r="O38" s="17"/>
      <c r="P38" s="17"/>
      <c r="S38" s="21"/>
    </row>
    <row r="39" spans="1:19" ht="16.5" x14ac:dyDescent="0.2">
      <c r="A39" s="22"/>
      <c r="B39" s="22" t="s">
        <v>175</v>
      </c>
      <c r="C39" s="4" t="s">
        <v>176</v>
      </c>
      <c r="D39" s="23"/>
      <c r="E39" s="39">
        <v>0</v>
      </c>
      <c r="F39" s="28"/>
      <c r="H39" s="28"/>
      <c r="K39" s="17"/>
      <c r="M39" s="17"/>
      <c r="N39" s="18"/>
      <c r="O39" s="17"/>
      <c r="P39" s="17"/>
      <c r="S39" s="21"/>
    </row>
    <row r="40" spans="1:19" x14ac:dyDescent="0.2">
      <c r="A40" s="22" t="s">
        <v>19</v>
      </c>
      <c r="B40" s="22" t="s">
        <v>177</v>
      </c>
      <c r="C40" s="4" t="s">
        <v>178</v>
      </c>
      <c r="E40" s="39">
        <v>30000</v>
      </c>
      <c r="F40" s="28"/>
      <c r="G40" s="17">
        <v>22053.37</v>
      </c>
      <c r="H40" s="28"/>
      <c r="K40" s="17">
        <v>99000</v>
      </c>
      <c r="M40" s="17">
        <v>0</v>
      </c>
      <c r="N40" s="18"/>
      <c r="O40" s="17"/>
      <c r="P40" s="17"/>
      <c r="S40" s="21"/>
    </row>
    <row r="41" spans="1:19" s="30" customFormat="1" x14ac:dyDescent="0.2">
      <c r="A41" s="29" t="s">
        <v>19</v>
      </c>
      <c r="B41" s="29"/>
      <c r="C41" s="30" t="s">
        <v>76</v>
      </c>
      <c r="E41" s="40"/>
      <c r="F41" s="32"/>
      <c r="G41" s="20"/>
      <c r="H41" s="32"/>
      <c r="I41" s="20">
        <v>76653.31</v>
      </c>
      <c r="J41" s="20"/>
      <c r="K41" s="20"/>
      <c r="M41" s="20"/>
      <c r="N41" s="20"/>
      <c r="O41" s="20"/>
      <c r="P41" s="20"/>
      <c r="S41" s="33"/>
    </row>
    <row r="42" spans="1:19" x14ac:dyDescent="0.2">
      <c r="A42" s="22" t="s">
        <v>132</v>
      </c>
      <c r="B42" s="22"/>
      <c r="C42" s="4" t="s">
        <v>179</v>
      </c>
      <c r="E42" s="39">
        <v>29734.41</v>
      </c>
      <c r="F42" s="28"/>
      <c r="G42" s="17">
        <v>29734.41</v>
      </c>
      <c r="H42" s="28"/>
      <c r="K42" s="17"/>
      <c r="M42" s="17"/>
      <c r="N42" s="18"/>
      <c r="O42" s="17"/>
      <c r="P42" s="17"/>
      <c r="S42" s="21"/>
    </row>
    <row r="43" spans="1:19" x14ac:dyDescent="0.2">
      <c r="A43" s="22" t="s">
        <v>132</v>
      </c>
      <c r="B43" s="22"/>
      <c r="C43" s="4" t="s">
        <v>180</v>
      </c>
      <c r="E43" s="39">
        <v>7265.59</v>
      </c>
      <c r="F43" s="28"/>
      <c r="G43" s="17">
        <v>7265.59</v>
      </c>
      <c r="H43" s="28"/>
      <c r="K43" s="17"/>
      <c r="M43" s="17"/>
      <c r="N43" s="18"/>
      <c r="O43" s="17"/>
      <c r="P43" s="17"/>
      <c r="S43" s="21"/>
    </row>
    <row r="44" spans="1:19" x14ac:dyDescent="0.2">
      <c r="C44" s="24" t="s">
        <v>48</v>
      </c>
      <c r="E44" s="39"/>
      <c r="F44" s="28"/>
      <c r="G44" s="19"/>
      <c r="H44" s="28"/>
      <c r="I44" s="19"/>
      <c r="K44" s="19"/>
      <c r="M44" s="19">
        <v>0</v>
      </c>
      <c r="N44" s="18"/>
      <c r="O44" s="19">
        <v>718062.66</v>
      </c>
      <c r="P44" s="17">
        <v>120000</v>
      </c>
      <c r="S44" s="21"/>
    </row>
    <row r="45" spans="1:19" x14ac:dyDescent="0.2">
      <c r="A45" s="22" t="s">
        <v>132</v>
      </c>
      <c r="C45" s="24" t="s">
        <v>49</v>
      </c>
      <c r="E45" s="39">
        <v>300000</v>
      </c>
      <c r="F45" s="28"/>
      <c r="G45" s="19">
        <v>300000</v>
      </c>
      <c r="H45" s="28"/>
      <c r="I45" s="17">
        <v>960000</v>
      </c>
      <c r="K45" s="17"/>
      <c r="M45" s="17"/>
      <c r="N45" s="18"/>
      <c r="O45" s="17"/>
      <c r="P45" s="17"/>
      <c r="S45" s="21"/>
    </row>
    <row r="46" spans="1:19" x14ac:dyDescent="0.2">
      <c r="C46" s="24" t="s">
        <v>50</v>
      </c>
      <c r="E46" s="39"/>
      <c r="F46" s="28"/>
      <c r="H46" s="28"/>
      <c r="K46" s="17"/>
      <c r="M46" s="17"/>
      <c r="N46" s="18"/>
      <c r="O46" s="17"/>
      <c r="P46" s="17"/>
      <c r="S46" s="21"/>
    </row>
    <row r="47" spans="1:19" x14ac:dyDescent="0.2">
      <c r="A47" s="4" t="s">
        <v>181</v>
      </c>
      <c r="C47" s="24" t="s">
        <v>51</v>
      </c>
      <c r="E47" s="39"/>
      <c r="F47" s="28"/>
      <c r="H47" s="28"/>
      <c r="I47" s="17">
        <v>200000</v>
      </c>
      <c r="K47" s="17"/>
      <c r="M47" s="17"/>
      <c r="N47" s="18"/>
      <c r="O47" s="17"/>
      <c r="P47" s="17"/>
      <c r="S47" s="21"/>
    </row>
    <row r="48" spans="1:19" x14ac:dyDescent="0.2">
      <c r="C48" s="24" t="s">
        <v>52</v>
      </c>
      <c r="E48" s="36"/>
      <c r="K48" s="17"/>
      <c r="M48" s="17"/>
      <c r="N48" s="18"/>
      <c r="O48" s="17"/>
      <c r="P48" s="17"/>
      <c r="S48" s="21"/>
    </row>
    <row r="49" spans="1:19" x14ac:dyDescent="0.2">
      <c r="C49" s="24" t="s">
        <v>53</v>
      </c>
      <c r="E49" s="36"/>
      <c r="K49" s="17"/>
      <c r="M49" s="17">
        <v>0</v>
      </c>
      <c r="N49" s="18"/>
      <c r="O49" s="17">
        <v>0</v>
      </c>
      <c r="P49" s="17">
        <v>0</v>
      </c>
      <c r="S49" s="21"/>
    </row>
    <row r="50" spans="1:19" x14ac:dyDescent="0.2">
      <c r="E50" s="38"/>
      <c r="F50" s="18"/>
      <c r="G50" s="20"/>
      <c r="H50" s="18"/>
      <c r="I50" s="20"/>
      <c r="J50" s="18"/>
      <c r="K50" s="20"/>
      <c r="M50" s="20"/>
      <c r="N50" s="18"/>
      <c r="O50" s="20"/>
      <c r="P50" s="20"/>
      <c r="S50" s="21"/>
    </row>
    <row r="51" spans="1:19" x14ac:dyDescent="0.2">
      <c r="E51" s="36"/>
      <c r="K51" s="17"/>
      <c r="M51" s="17"/>
      <c r="N51" s="18"/>
      <c r="O51" s="17"/>
      <c r="P51" s="17"/>
      <c r="S51" s="21"/>
    </row>
    <row r="52" spans="1:19" x14ac:dyDescent="0.2">
      <c r="A52" s="4" t="s">
        <v>20</v>
      </c>
      <c r="E52" s="36">
        <f>SUM(E17:E51)</f>
        <v>1076800</v>
      </c>
      <c r="G52" s="17">
        <f>SUM(G17:G51)</f>
        <v>545245.62</v>
      </c>
      <c r="I52" s="17">
        <f>SUM(I17:I51)</f>
        <v>1251487.21</v>
      </c>
      <c r="K52" s="17">
        <f>SUM(K17:K51)</f>
        <v>506792.29000000004</v>
      </c>
      <c r="M52" s="17">
        <f>SUM(M17:M51)</f>
        <v>312905.40000000002</v>
      </c>
      <c r="N52" s="18"/>
      <c r="O52" s="17">
        <f>SUM(O17:O51)</f>
        <v>718062.66</v>
      </c>
      <c r="P52" s="17">
        <f>SUM(P17:P51)</f>
        <v>120000</v>
      </c>
      <c r="S52" s="21"/>
    </row>
    <row r="53" spans="1:19" x14ac:dyDescent="0.2">
      <c r="E53" s="36"/>
      <c r="K53" s="17"/>
      <c r="M53" s="17"/>
      <c r="N53" s="18"/>
      <c r="O53" s="17"/>
      <c r="P53" s="17"/>
    </row>
    <row r="54" spans="1:19" x14ac:dyDescent="0.2">
      <c r="A54" s="4" t="s">
        <v>21</v>
      </c>
      <c r="E54" s="36">
        <f>(E14-E52)</f>
        <v>-452572</v>
      </c>
      <c r="G54" s="17">
        <f>(G14-G52)</f>
        <v>113549.35000000009</v>
      </c>
      <c r="I54" s="17">
        <f>(I14-I52)</f>
        <v>-608845.52999999991</v>
      </c>
      <c r="K54" s="17">
        <f>(K14-K52)</f>
        <v>110247.14999999991</v>
      </c>
      <c r="M54" s="17">
        <f>(M14-M52)</f>
        <v>259826.18999999994</v>
      </c>
      <c r="N54" s="18"/>
      <c r="O54" s="17">
        <f>(O14-O52)</f>
        <v>-170914.96000000008</v>
      </c>
      <c r="P54" s="17">
        <f>(P14-P52)</f>
        <v>431111.93999999994</v>
      </c>
    </row>
    <row r="55" spans="1:19" x14ac:dyDescent="0.2">
      <c r="E55" s="36"/>
      <c r="K55" s="17"/>
      <c r="M55" s="17"/>
      <c r="N55" s="18"/>
      <c r="O55" s="17"/>
      <c r="P55" s="17"/>
    </row>
    <row r="56" spans="1:19" s="14" customFormat="1" x14ac:dyDescent="0.2">
      <c r="A56" s="14" t="s">
        <v>22</v>
      </c>
      <c r="E56" s="37">
        <f>(E7+E14-E52)</f>
        <v>400633.79000000004</v>
      </c>
      <c r="F56" s="15"/>
      <c r="G56" s="15">
        <f>(G7+G14-G52)</f>
        <v>966755.14000000025</v>
      </c>
      <c r="H56" s="15"/>
      <c r="I56" s="15">
        <f>(I7+I14-I52)</f>
        <v>853205.79</v>
      </c>
      <c r="J56" s="15"/>
      <c r="K56" s="15">
        <f>(K7+K14-K52)</f>
        <v>1462051.3199999998</v>
      </c>
      <c r="M56" s="15">
        <f>(M7+M14-M52)</f>
        <v>1351804.17</v>
      </c>
      <c r="N56" s="16"/>
      <c r="O56" s="15">
        <f>(O7+O14-O52)</f>
        <v>1091977.98</v>
      </c>
      <c r="P56" s="15">
        <f>(P7+P14-P52)</f>
        <v>1262892.94</v>
      </c>
    </row>
    <row r="57" spans="1:19" x14ac:dyDescent="0.2">
      <c r="E57" s="36"/>
      <c r="K57" s="17"/>
      <c r="M57" s="17"/>
      <c r="N57" s="18"/>
      <c r="O57" s="17"/>
      <c r="P57" s="17"/>
    </row>
    <row r="58" spans="1:19" x14ac:dyDescent="0.2">
      <c r="A58" s="4" t="s">
        <v>23</v>
      </c>
      <c r="E58" s="36">
        <v>0</v>
      </c>
      <c r="G58" s="17">
        <v>378052.49</v>
      </c>
      <c r="K58" s="17"/>
      <c r="M58" s="17">
        <v>6315</v>
      </c>
      <c r="N58" s="18"/>
      <c r="O58" s="17">
        <v>0</v>
      </c>
      <c r="P58" s="17">
        <v>0</v>
      </c>
      <c r="Q58" s="4" t="s">
        <v>54</v>
      </c>
    </row>
    <row r="59" spans="1:19" x14ac:dyDescent="0.2">
      <c r="E59" s="36"/>
      <c r="K59" s="17"/>
      <c r="M59" s="17"/>
      <c r="N59" s="18"/>
      <c r="O59" s="17"/>
      <c r="P59" s="17"/>
    </row>
    <row r="60" spans="1:19" s="14" customFormat="1" ht="15" thickBot="1" x14ac:dyDescent="0.25">
      <c r="A60" s="14" t="s">
        <v>24</v>
      </c>
      <c r="E60" s="41">
        <f>(E56-E58)</f>
        <v>400633.79000000004</v>
      </c>
      <c r="F60" s="16"/>
      <c r="G60" s="25">
        <f>(G56-G58)</f>
        <v>588702.65000000026</v>
      </c>
      <c r="H60" s="16"/>
      <c r="I60" s="25">
        <f>(I56-I58)</f>
        <v>853205.79</v>
      </c>
      <c r="J60" s="16"/>
      <c r="K60" s="25">
        <f>(K56-K58)</f>
        <v>1462051.3199999998</v>
      </c>
      <c r="M60" s="25">
        <f>(M56-M58)</f>
        <v>1345489.17</v>
      </c>
      <c r="N60" s="16"/>
      <c r="O60" s="25">
        <f>(O56-O58)</f>
        <v>1091977.98</v>
      </c>
      <c r="P60" s="25">
        <f>(P56-P58)</f>
        <v>1262892.94</v>
      </c>
    </row>
    <row r="61" spans="1:19" ht="15" thickTop="1" x14ac:dyDescent="0.2"/>
    <row r="62" spans="1:19" x14ac:dyDescent="0.2">
      <c r="G62" s="163" t="s">
        <v>182</v>
      </c>
      <c r="H62" s="163"/>
      <c r="I62" s="163"/>
      <c r="J62" s="163"/>
      <c r="K62" s="164"/>
      <c r="L62" s="164"/>
      <c r="M62" s="164"/>
    </row>
    <row r="63" spans="1:19" x14ac:dyDescent="0.2">
      <c r="K63" s="26"/>
      <c r="M63" s="26"/>
      <c r="N63" s="27"/>
      <c r="O63" s="26"/>
      <c r="P63" s="26"/>
    </row>
    <row r="64" spans="1:19" x14ac:dyDescent="0.2">
      <c r="A64" s="4" t="s">
        <v>55</v>
      </c>
      <c r="K64" s="26"/>
      <c r="M64" s="42"/>
      <c r="N64" s="27"/>
      <c r="O64" s="26"/>
      <c r="P64" s="26"/>
    </row>
    <row r="65" spans="3:16" x14ac:dyDescent="0.2">
      <c r="C65" s="4" t="s">
        <v>56</v>
      </c>
      <c r="G65" s="42">
        <v>0</v>
      </c>
      <c r="I65" s="42">
        <v>0</v>
      </c>
      <c r="K65" s="42">
        <v>0</v>
      </c>
      <c r="M65" s="42">
        <v>450389.29</v>
      </c>
      <c r="N65" s="27"/>
      <c r="O65" s="26"/>
      <c r="P65" s="26"/>
    </row>
    <row r="66" spans="3:16" x14ac:dyDescent="0.2">
      <c r="C66" s="4" t="s">
        <v>77</v>
      </c>
      <c r="G66" s="42">
        <v>42369.2</v>
      </c>
      <c r="I66" s="42">
        <v>0</v>
      </c>
      <c r="K66" s="42">
        <v>0</v>
      </c>
      <c r="M66" s="42">
        <v>40726.25</v>
      </c>
      <c r="N66" s="27"/>
      <c r="O66" s="26"/>
      <c r="P66" s="26"/>
    </row>
    <row r="67" spans="3:16" x14ac:dyDescent="0.2">
      <c r="C67" s="4" t="s">
        <v>57</v>
      </c>
      <c r="G67" s="42">
        <v>3753.24</v>
      </c>
      <c r="I67" s="42">
        <v>0</v>
      </c>
      <c r="K67" s="42">
        <v>0</v>
      </c>
      <c r="M67" s="42">
        <v>3033.56</v>
      </c>
      <c r="N67" s="27"/>
      <c r="O67" s="26"/>
      <c r="P67" s="26"/>
    </row>
    <row r="68" spans="3:16" x14ac:dyDescent="0.2">
      <c r="C68" s="4" t="s">
        <v>58</v>
      </c>
      <c r="G68" s="42">
        <v>-2042.73</v>
      </c>
      <c r="I68" s="42">
        <v>0</v>
      </c>
      <c r="K68" s="42">
        <v>0</v>
      </c>
      <c r="M68" s="42">
        <v>1890.31</v>
      </c>
      <c r="N68" s="27"/>
      <c r="O68" s="26"/>
      <c r="P68" s="26"/>
    </row>
    <row r="69" spans="3:16" x14ac:dyDescent="0.2">
      <c r="C69" s="4" t="s">
        <v>59</v>
      </c>
      <c r="G69" s="42">
        <v>1008495.33</v>
      </c>
      <c r="I69" s="42">
        <v>0</v>
      </c>
      <c r="K69" s="42">
        <v>0</v>
      </c>
      <c r="M69" s="42">
        <v>357166.38</v>
      </c>
      <c r="N69" s="27"/>
      <c r="O69" s="26"/>
      <c r="P69" s="26"/>
    </row>
    <row r="70" spans="3:16" x14ac:dyDescent="0.2">
      <c r="C70" s="4" t="s">
        <v>183</v>
      </c>
      <c r="G70" s="43">
        <v>-85819.9</v>
      </c>
      <c r="I70" s="43">
        <v>0</v>
      </c>
      <c r="K70" s="43">
        <v>0</v>
      </c>
      <c r="M70" s="43"/>
      <c r="N70" s="27"/>
      <c r="O70" s="26"/>
      <c r="P70" s="26"/>
    </row>
    <row r="71" spans="3:16" x14ac:dyDescent="0.2">
      <c r="G71" s="42">
        <f>SUM(G65:G70)</f>
        <v>966755.14</v>
      </c>
      <c r="I71" s="42">
        <f>SUM(I65:I70)</f>
        <v>0</v>
      </c>
      <c r="K71" s="42">
        <f>SUM(K65:K70)</f>
        <v>0</v>
      </c>
      <c r="M71" s="42">
        <f>SUM(M65:M70)</f>
        <v>853205.79</v>
      </c>
      <c r="N71" s="27"/>
      <c r="O71" s="26"/>
      <c r="P71" s="26"/>
    </row>
    <row r="72" spans="3:16" x14ac:dyDescent="0.2">
      <c r="K72" s="26"/>
      <c r="M72" s="26"/>
      <c r="N72" s="27"/>
      <c r="O72" s="26"/>
      <c r="P72" s="26"/>
    </row>
    <row r="73" spans="3:16" x14ac:dyDescent="0.2">
      <c r="G73" s="17">
        <f>(G56-G71)</f>
        <v>2.3283064365386963E-10</v>
      </c>
      <c r="K73" s="26"/>
      <c r="M73" s="26"/>
      <c r="N73" s="27"/>
      <c r="O73" s="26"/>
      <c r="P73" s="26"/>
    </row>
    <row r="74" spans="3:16" x14ac:dyDescent="0.2">
      <c r="K74" s="26"/>
      <c r="M74" s="26"/>
      <c r="N74" s="27"/>
      <c r="O74" s="26"/>
      <c r="P74" s="26"/>
    </row>
    <row r="75" spans="3:16" x14ac:dyDescent="0.2">
      <c r="K75" s="26"/>
      <c r="M75" s="26"/>
      <c r="N75" s="27"/>
      <c r="O75" s="26"/>
      <c r="P75" s="26"/>
    </row>
    <row r="76" spans="3:16" x14ac:dyDescent="0.2">
      <c r="K76" s="26"/>
      <c r="M76" s="26"/>
      <c r="N76" s="27"/>
      <c r="O76" s="26"/>
      <c r="P76" s="26"/>
    </row>
    <row r="77" spans="3:16" x14ac:dyDescent="0.2">
      <c r="K77" s="26"/>
      <c r="M77" s="26"/>
      <c r="N77" s="27"/>
      <c r="O77" s="26"/>
      <c r="P77" s="26"/>
    </row>
  </sheetData>
  <hyperlinks>
    <hyperlink ref="P1" location="'All Funds'!A1" display="Back"/>
  </hyperlinks>
  <pageMargins left="0.7" right="0.7" top="0.75" bottom="0.75" header="0.3" footer="0.3"/>
  <pageSetup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sqref="A1:C23"/>
    </sheetView>
  </sheetViews>
  <sheetFormatPr defaultRowHeight="15" x14ac:dyDescent="0.25"/>
  <cols>
    <col min="1" max="1" width="3.28515625" style="147" customWidth="1"/>
    <col min="2" max="2" width="45.140625" style="147" bestFit="1" customWidth="1"/>
    <col min="3" max="3" width="15.140625" style="148" bestFit="1" customWidth="1"/>
    <col min="4" max="16384" width="9.140625" style="147"/>
  </cols>
  <sheetData>
    <row r="1" spans="1:3" x14ac:dyDescent="0.25">
      <c r="A1" s="173"/>
      <c r="B1" s="173"/>
      <c r="C1" s="184" t="s">
        <v>27</v>
      </c>
    </row>
    <row r="2" spans="1:3" x14ac:dyDescent="0.25">
      <c r="A2" s="173"/>
      <c r="B2" s="173"/>
      <c r="C2" s="184" t="s">
        <v>4</v>
      </c>
    </row>
    <row r="3" spans="1:3" x14ac:dyDescent="0.25">
      <c r="A3" s="172"/>
      <c r="B3" s="173"/>
      <c r="C3" s="183" t="s">
        <v>184</v>
      </c>
    </row>
    <row r="4" spans="1:3" x14ac:dyDescent="0.25">
      <c r="A4" s="172" t="s">
        <v>9</v>
      </c>
      <c r="B4" s="173"/>
      <c r="C4" s="174"/>
    </row>
    <row r="5" spans="1:3" x14ac:dyDescent="0.25">
      <c r="A5" s="173"/>
      <c r="B5" s="173" t="s">
        <v>25</v>
      </c>
      <c r="C5" s="176">
        <v>653046</v>
      </c>
    </row>
    <row r="6" spans="1:3" x14ac:dyDescent="0.25">
      <c r="A6" s="173"/>
      <c r="B6" s="173" t="s">
        <v>65</v>
      </c>
      <c r="C6" s="182">
        <v>5360</v>
      </c>
    </row>
    <row r="7" spans="1:3" x14ac:dyDescent="0.25">
      <c r="A7" s="173"/>
      <c r="B7" s="173" t="s">
        <v>146</v>
      </c>
      <c r="C7" s="176">
        <f>SUM(C5:C6)</f>
        <v>658406</v>
      </c>
    </row>
    <row r="8" spans="1:3" ht="9" customHeight="1" x14ac:dyDescent="0.25">
      <c r="A8" s="173"/>
      <c r="B8" s="173"/>
      <c r="C8" s="177"/>
    </row>
    <row r="9" spans="1:3" x14ac:dyDescent="0.25">
      <c r="A9" s="172" t="s">
        <v>14</v>
      </c>
      <c r="B9" s="173"/>
      <c r="C9" s="177"/>
    </row>
    <row r="10" spans="1:3" x14ac:dyDescent="0.25">
      <c r="A10" s="173"/>
      <c r="B10" s="173" t="s">
        <v>185</v>
      </c>
      <c r="C10" s="176">
        <v>64196</v>
      </c>
    </row>
    <row r="11" spans="1:3" x14ac:dyDescent="0.25">
      <c r="A11" s="173"/>
      <c r="B11" s="173" t="s">
        <v>186</v>
      </c>
      <c r="C11" s="177">
        <v>99983</v>
      </c>
    </row>
    <row r="12" spans="1:3" x14ac:dyDescent="0.25">
      <c r="A12" s="173"/>
      <c r="B12" s="173" t="s">
        <v>187</v>
      </c>
      <c r="C12" s="177">
        <v>22053</v>
      </c>
    </row>
    <row r="13" spans="1:3" x14ac:dyDescent="0.25">
      <c r="A13" s="173"/>
      <c r="B13" s="173" t="s">
        <v>188</v>
      </c>
      <c r="C13" s="177">
        <v>21624</v>
      </c>
    </row>
    <row r="14" spans="1:3" x14ac:dyDescent="0.25">
      <c r="A14" s="173"/>
      <c r="B14" s="173" t="s">
        <v>71</v>
      </c>
      <c r="C14" s="177">
        <v>300000</v>
      </c>
    </row>
    <row r="15" spans="1:3" x14ac:dyDescent="0.25">
      <c r="A15" s="173"/>
      <c r="B15" s="173" t="s">
        <v>189</v>
      </c>
      <c r="C15" s="177">
        <v>29734.41</v>
      </c>
    </row>
    <row r="16" spans="1:3" x14ac:dyDescent="0.25">
      <c r="A16" s="173"/>
      <c r="B16" s="173" t="s">
        <v>190</v>
      </c>
      <c r="C16" s="178">
        <v>7265.59</v>
      </c>
    </row>
    <row r="17" spans="1:3" x14ac:dyDescent="0.25">
      <c r="A17" s="173"/>
      <c r="B17" s="173" t="s">
        <v>147</v>
      </c>
      <c r="C17" s="176">
        <f>SUM(C10:C16)</f>
        <v>544856</v>
      </c>
    </row>
    <row r="18" spans="1:3" ht="9.6" customHeight="1" x14ac:dyDescent="0.25">
      <c r="A18" s="173"/>
      <c r="B18" s="173"/>
      <c r="C18" s="177"/>
    </row>
    <row r="19" spans="1:3" x14ac:dyDescent="0.25">
      <c r="A19" s="173" t="s">
        <v>29</v>
      </c>
      <c r="B19" s="173"/>
      <c r="C19" s="175">
        <f>(C7-C17)</f>
        <v>113550</v>
      </c>
    </row>
    <row r="20" spans="1:3" ht="9.6" customHeight="1" x14ac:dyDescent="0.25">
      <c r="A20" s="173"/>
      <c r="B20" s="173"/>
      <c r="C20" s="177"/>
    </row>
    <row r="21" spans="1:3" x14ac:dyDescent="0.25">
      <c r="A21" s="172" t="s">
        <v>67</v>
      </c>
      <c r="B21" s="173"/>
      <c r="C21" s="176">
        <v>853206</v>
      </c>
    </row>
    <row r="22" spans="1:3" ht="8.4499999999999993" customHeight="1" x14ac:dyDescent="0.25">
      <c r="A22" s="172"/>
      <c r="B22" s="173"/>
      <c r="C22" s="177"/>
    </row>
    <row r="23" spans="1:3" ht="15.75" thickBot="1" x14ac:dyDescent="0.3">
      <c r="A23" s="172" t="s">
        <v>68</v>
      </c>
      <c r="B23" s="173"/>
      <c r="C23" s="179">
        <f>SUM(C19:C21)</f>
        <v>966756</v>
      </c>
    </row>
    <row r="24" spans="1:3" ht="15.75" thickTop="1" x14ac:dyDescent="0.25">
      <c r="A24" s="121"/>
      <c r="B24" s="121"/>
      <c r="C24" s="177"/>
    </row>
    <row r="25" spans="1:3" x14ac:dyDescent="0.25">
      <c r="C25" s="14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1" workbookViewId="0">
      <selection activeCell="J38" sqref="J38"/>
    </sheetView>
  </sheetViews>
  <sheetFormatPr defaultRowHeight="15" x14ac:dyDescent="0.25"/>
  <cols>
    <col min="1" max="1" width="40.140625" customWidth="1"/>
    <col min="2" max="2" width="14" bestFit="1" customWidth="1"/>
    <col min="3" max="3" width="15.42578125" style="144" bestFit="1" customWidth="1"/>
    <col min="4" max="4" width="14.140625" bestFit="1" customWidth="1"/>
    <col min="5" max="5" width="12.28515625" bestFit="1" customWidth="1"/>
  </cols>
  <sheetData>
    <row r="1" spans="1:5" x14ac:dyDescent="0.25">
      <c r="A1" s="133"/>
      <c r="B1" s="134" t="s">
        <v>122</v>
      </c>
      <c r="C1" s="141" t="s">
        <v>128</v>
      </c>
      <c r="D1" s="134" t="s">
        <v>132</v>
      </c>
      <c r="E1" s="134" t="s">
        <v>142</v>
      </c>
    </row>
    <row r="2" spans="1:5" x14ac:dyDescent="0.25">
      <c r="B2" s="135" t="s">
        <v>129</v>
      </c>
      <c r="C2" s="142" t="s">
        <v>129</v>
      </c>
      <c r="D2" s="135" t="s">
        <v>129</v>
      </c>
      <c r="E2" s="135" t="s">
        <v>143</v>
      </c>
    </row>
    <row r="3" spans="1:5" x14ac:dyDescent="0.25">
      <c r="A3" s="136" t="s">
        <v>191</v>
      </c>
      <c r="B3" s="135"/>
      <c r="C3" s="142"/>
      <c r="D3" s="135"/>
    </row>
    <row r="4" spans="1:5" ht="15" customHeight="1" x14ac:dyDescent="0.25">
      <c r="A4" s="166" t="s">
        <v>192</v>
      </c>
      <c r="B4" s="145"/>
      <c r="C4" s="167">
        <v>35000</v>
      </c>
      <c r="D4" s="167"/>
      <c r="E4" s="168"/>
    </row>
    <row r="5" spans="1:5" ht="15" customHeight="1" x14ac:dyDescent="0.25">
      <c r="A5" s="166" t="s">
        <v>193</v>
      </c>
      <c r="B5" s="145"/>
      <c r="C5" s="167">
        <v>16400</v>
      </c>
      <c r="D5" s="167"/>
      <c r="E5" s="168"/>
    </row>
    <row r="6" spans="1:5" ht="15" customHeight="1" x14ac:dyDescent="0.25">
      <c r="A6" s="166" t="s">
        <v>194</v>
      </c>
      <c r="B6" s="145"/>
      <c r="C6" s="167">
        <v>34000</v>
      </c>
      <c r="D6" s="167"/>
      <c r="E6" s="168"/>
    </row>
    <row r="7" spans="1:5" ht="15" customHeight="1" x14ac:dyDescent="0.25">
      <c r="A7" s="166" t="s">
        <v>195</v>
      </c>
      <c r="B7" s="145"/>
      <c r="C7" s="167">
        <v>50000</v>
      </c>
      <c r="D7" s="169"/>
      <c r="E7" s="168"/>
    </row>
    <row r="8" spans="1:5" ht="15" customHeight="1" x14ac:dyDescent="0.25">
      <c r="A8" s="166" t="s">
        <v>196</v>
      </c>
      <c r="B8" s="145"/>
      <c r="C8" s="167"/>
      <c r="D8" s="165">
        <v>17000</v>
      </c>
      <c r="E8" s="168"/>
    </row>
    <row r="9" spans="1:5" ht="15" customHeight="1" x14ac:dyDescent="0.25">
      <c r="A9" s="166" t="s">
        <v>197</v>
      </c>
      <c r="B9" s="145"/>
      <c r="C9" s="167"/>
      <c r="D9" s="165">
        <v>17000</v>
      </c>
      <c r="E9" s="168"/>
    </row>
    <row r="10" spans="1:5" ht="15" customHeight="1" x14ac:dyDescent="0.25">
      <c r="A10" s="166" t="s">
        <v>198</v>
      </c>
      <c r="B10" s="145"/>
      <c r="C10" s="167"/>
      <c r="D10" s="165">
        <v>4000</v>
      </c>
      <c r="E10" s="168"/>
    </row>
    <row r="11" spans="1:5" ht="15" customHeight="1" x14ac:dyDescent="0.25">
      <c r="A11" s="137" t="s">
        <v>156</v>
      </c>
      <c r="B11" s="135"/>
      <c r="C11" s="170"/>
      <c r="D11" s="171"/>
      <c r="E11" s="165">
        <v>700000</v>
      </c>
    </row>
    <row r="12" spans="1:5" x14ac:dyDescent="0.25">
      <c r="A12" s="136"/>
      <c r="B12" s="135"/>
      <c r="C12" s="142"/>
      <c r="D12" s="135"/>
    </row>
    <row r="13" spans="1:5" x14ac:dyDescent="0.25">
      <c r="A13" s="136"/>
      <c r="B13" s="134" t="s">
        <v>122</v>
      </c>
      <c r="C13" s="141" t="s">
        <v>128</v>
      </c>
      <c r="D13" s="134" t="s">
        <v>132</v>
      </c>
      <c r="E13" s="134" t="s">
        <v>142</v>
      </c>
    </row>
    <row r="14" spans="1:5" x14ac:dyDescent="0.25">
      <c r="A14" s="136"/>
      <c r="B14" s="135" t="s">
        <v>129</v>
      </c>
      <c r="C14" s="142" t="s">
        <v>129</v>
      </c>
      <c r="D14" s="135" t="s">
        <v>129</v>
      </c>
      <c r="E14" s="135" t="s">
        <v>143</v>
      </c>
    </row>
    <row r="15" spans="1:5" x14ac:dyDescent="0.25">
      <c r="A15" s="136" t="s">
        <v>133</v>
      </c>
      <c r="B15" s="135"/>
      <c r="C15" s="142"/>
      <c r="D15" s="135"/>
    </row>
    <row r="16" spans="1:5" x14ac:dyDescent="0.25">
      <c r="A16" s="137" t="s">
        <v>135</v>
      </c>
      <c r="B16" s="145">
        <v>100000</v>
      </c>
      <c r="C16" s="143"/>
      <c r="D16" s="145"/>
    </row>
    <row r="17" spans="1:8" x14ac:dyDescent="0.25">
      <c r="A17" s="137" t="s">
        <v>138</v>
      </c>
      <c r="B17" s="145">
        <v>30000</v>
      </c>
      <c r="C17" s="143"/>
      <c r="D17" s="145"/>
    </row>
    <row r="18" spans="1:8" x14ac:dyDescent="0.25">
      <c r="A18" s="137" t="s">
        <v>139</v>
      </c>
      <c r="B18" s="145">
        <v>315000</v>
      </c>
      <c r="C18" s="143"/>
      <c r="D18" s="145"/>
    </row>
    <row r="19" spans="1:8" x14ac:dyDescent="0.25">
      <c r="A19" s="137" t="s">
        <v>134</v>
      </c>
      <c r="B19" s="145"/>
      <c r="C19" s="145">
        <v>80000</v>
      </c>
      <c r="D19" s="133"/>
    </row>
    <row r="20" spans="1:8" x14ac:dyDescent="0.25">
      <c r="A20" s="137" t="s">
        <v>158</v>
      </c>
      <c r="B20" s="145"/>
      <c r="C20" s="145">
        <v>20000</v>
      </c>
      <c r="D20" s="161"/>
    </row>
    <row r="21" spans="1:8" x14ac:dyDescent="0.25">
      <c r="A21" s="137" t="s">
        <v>136</v>
      </c>
      <c r="B21" s="145"/>
      <c r="C21" s="145">
        <v>35000</v>
      </c>
      <c r="D21" s="145"/>
    </row>
    <row r="22" spans="1:8" x14ac:dyDescent="0.25">
      <c r="A22" s="137" t="s">
        <v>137</v>
      </c>
      <c r="B22" s="145"/>
      <c r="C22" s="143"/>
      <c r="D22" s="145">
        <v>37000</v>
      </c>
    </row>
    <row r="23" spans="1:8" x14ac:dyDescent="0.25">
      <c r="A23" s="137" t="s">
        <v>145</v>
      </c>
      <c r="B23" s="145" t="s">
        <v>131</v>
      </c>
      <c r="C23" s="143"/>
      <c r="D23" s="145">
        <v>300000</v>
      </c>
    </row>
    <row r="24" spans="1:8" x14ac:dyDescent="0.25">
      <c r="B24" s="143"/>
      <c r="C24" s="143"/>
      <c r="D24" s="143"/>
    </row>
    <row r="25" spans="1:8" x14ac:dyDescent="0.25">
      <c r="A25" s="133"/>
      <c r="B25" s="181"/>
      <c r="C25" s="181"/>
      <c r="D25" s="133"/>
    </row>
    <row r="26" spans="1:8" x14ac:dyDescent="0.25">
      <c r="A26" s="133"/>
      <c r="B26" s="134" t="s">
        <v>122</v>
      </c>
      <c r="C26" s="141" t="s">
        <v>128</v>
      </c>
      <c r="D26" s="134" t="s">
        <v>132</v>
      </c>
      <c r="E26" s="134" t="s">
        <v>142</v>
      </c>
      <c r="F26" s="133"/>
      <c r="G26" s="133"/>
      <c r="H26" s="133"/>
    </row>
    <row r="27" spans="1:8" x14ac:dyDescent="0.25">
      <c r="A27" s="136" t="s">
        <v>130</v>
      </c>
      <c r="B27" s="135" t="s">
        <v>129</v>
      </c>
      <c r="C27" s="142" t="s">
        <v>129</v>
      </c>
      <c r="D27" s="135" t="s">
        <v>129</v>
      </c>
      <c r="E27" s="135" t="s">
        <v>143</v>
      </c>
      <c r="F27" s="133"/>
      <c r="G27" s="134"/>
      <c r="H27" s="134"/>
    </row>
    <row r="28" spans="1:8" x14ac:dyDescent="0.25">
      <c r="A28" s="137" t="s">
        <v>140</v>
      </c>
      <c r="B28" s="145">
        <v>80001</v>
      </c>
      <c r="C28" s="145"/>
      <c r="D28" s="145"/>
      <c r="E28" s="145"/>
      <c r="F28" s="133"/>
      <c r="G28" s="135"/>
      <c r="H28" s="135"/>
    </row>
    <row r="29" spans="1:8" x14ac:dyDescent="0.25">
      <c r="A29" s="137" t="s">
        <v>141</v>
      </c>
      <c r="B29" s="145"/>
      <c r="C29" s="145">
        <v>165000</v>
      </c>
      <c r="D29" s="145"/>
      <c r="E29" s="145"/>
      <c r="F29" s="137"/>
      <c r="G29" s="140"/>
      <c r="H29" s="146"/>
    </row>
    <row r="30" spans="1:8" x14ac:dyDescent="0.25">
      <c r="A30" s="137" t="s">
        <v>145</v>
      </c>
      <c r="B30" s="137"/>
      <c r="C30" s="133"/>
      <c r="D30" s="145">
        <v>960000</v>
      </c>
      <c r="E30" s="133"/>
      <c r="F30" s="133"/>
      <c r="G30" s="133"/>
      <c r="H30" s="139"/>
    </row>
    <row r="31" spans="1:8" x14ac:dyDescent="0.25">
      <c r="A31" s="137" t="s">
        <v>144</v>
      </c>
      <c r="B31" s="137"/>
      <c r="C31" s="137"/>
      <c r="D31" s="137"/>
      <c r="E31" s="145">
        <v>200000</v>
      </c>
      <c r="F31" s="137"/>
      <c r="G31" s="140"/>
      <c r="H31" s="146"/>
    </row>
    <row r="32" spans="1:8" x14ac:dyDescent="0.25">
      <c r="B32" s="146"/>
      <c r="C32" s="146"/>
      <c r="D32" s="133"/>
      <c r="E32" s="133"/>
      <c r="F32" s="133"/>
      <c r="G32" s="133"/>
      <c r="H32" s="139"/>
    </row>
    <row r="33" spans="1:6" ht="36" x14ac:dyDescent="0.25">
      <c r="A33" s="150"/>
      <c r="B33" s="160" t="s">
        <v>148</v>
      </c>
      <c r="C33" s="151" t="s">
        <v>149</v>
      </c>
      <c r="D33" s="151"/>
      <c r="E33" s="133"/>
      <c r="F33" s="133"/>
    </row>
    <row r="34" spans="1:6" x14ac:dyDescent="0.25">
      <c r="A34" s="152" t="s">
        <v>150</v>
      </c>
      <c r="B34" s="153" t="s">
        <v>151</v>
      </c>
      <c r="C34" s="153" t="s">
        <v>199</v>
      </c>
      <c r="D34" s="154" t="s">
        <v>152</v>
      </c>
      <c r="E34" s="133"/>
      <c r="F34" s="134"/>
    </row>
    <row r="35" spans="1:6" x14ac:dyDescent="0.25">
      <c r="A35" s="150" t="s">
        <v>153</v>
      </c>
      <c r="B35" s="155">
        <v>1015569</v>
      </c>
      <c r="C35" s="155">
        <v>300000</v>
      </c>
      <c r="D35" s="155">
        <f>B35-C35</f>
        <v>715569</v>
      </c>
      <c r="E35" s="134"/>
      <c r="F35" s="134"/>
    </row>
    <row r="36" spans="1:6" x14ac:dyDescent="0.25">
      <c r="A36" s="150" t="s">
        <v>154</v>
      </c>
      <c r="B36" s="156">
        <v>0</v>
      </c>
      <c r="C36" s="156">
        <v>0</v>
      </c>
      <c r="D36" s="156">
        <f t="shared" ref="D36:D40" si="0">B36-C36</f>
        <v>0</v>
      </c>
      <c r="E36" s="135"/>
      <c r="F36" s="135"/>
    </row>
    <row r="37" spans="1:6" x14ac:dyDescent="0.25">
      <c r="A37" s="150" t="s">
        <v>155</v>
      </c>
      <c r="B37" s="156">
        <v>2922000</v>
      </c>
      <c r="C37" s="156">
        <f>1331040+38000</f>
        <v>1369040</v>
      </c>
      <c r="D37" s="156">
        <f t="shared" si="0"/>
        <v>1552960</v>
      </c>
      <c r="E37" s="138"/>
      <c r="F37" s="133"/>
    </row>
    <row r="38" spans="1:6" x14ac:dyDescent="0.25">
      <c r="A38" s="150" t="s">
        <v>156</v>
      </c>
      <c r="B38" s="156">
        <v>900000</v>
      </c>
      <c r="C38" s="156">
        <v>900000</v>
      </c>
      <c r="D38" s="156">
        <f t="shared" si="0"/>
        <v>0</v>
      </c>
      <c r="E38" s="133"/>
      <c r="F38" s="138"/>
    </row>
    <row r="39" spans="1:6" x14ac:dyDescent="0.25">
      <c r="A39" s="150" t="s">
        <v>122</v>
      </c>
      <c r="B39" s="156">
        <v>2303168</v>
      </c>
      <c r="C39" s="156">
        <f>2303168-341674</f>
        <v>1961494</v>
      </c>
      <c r="D39" s="156">
        <f t="shared" si="0"/>
        <v>341674</v>
      </c>
    </row>
    <row r="40" spans="1:6" x14ac:dyDescent="0.25">
      <c r="A40" s="150" t="s">
        <v>157</v>
      </c>
      <c r="B40" s="159">
        <v>922000</v>
      </c>
      <c r="C40" s="159">
        <f>922000-121665</f>
        <v>800335</v>
      </c>
      <c r="D40" s="159">
        <f t="shared" si="0"/>
        <v>121665</v>
      </c>
    </row>
    <row r="41" spans="1:6" ht="15.75" thickBot="1" x14ac:dyDescent="0.3">
      <c r="A41" s="150"/>
      <c r="B41" s="157">
        <f>SUM(B35:B40)</f>
        <v>8062737</v>
      </c>
      <c r="C41" s="157">
        <f>SUM(C35:C40)</f>
        <v>5330869</v>
      </c>
      <c r="D41" s="158">
        <f>SUM(D35:D40)</f>
        <v>2731868</v>
      </c>
    </row>
    <row r="42" spans="1:6" ht="15.75" thickTop="1" x14ac:dyDescent="0.25">
      <c r="B42" s="144"/>
      <c r="C42"/>
    </row>
  </sheetData>
  <mergeCells count="1">
    <mergeCell ref="B25:C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Sheet2</vt:lpstr>
      <vt:lpstr>fo rpower point fy16</vt:lpstr>
      <vt:lpstr>102</vt:lpstr>
      <vt:lpstr>chart for memo fy18</vt:lpstr>
      <vt:lpstr>fy18 update</vt:lpstr>
      <vt:lpstr>'102'!Print_Area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shenley</cp:lastModifiedBy>
  <cp:lastPrinted>2015-03-18T20:39:41Z</cp:lastPrinted>
  <dcterms:created xsi:type="dcterms:W3CDTF">2015-03-18T19:57:39Z</dcterms:created>
  <dcterms:modified xsi:type="dcterms:W3CDTF">2018-07-10T19:24:39Z</dcterms:modified>
</cp:coreProperties>
</file>