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taylorengineering-my.sharepoint.com/personal/tcake_taylorengineering_com/Documents/Desktop/Projects/C2022-032-01 Longboat Key Canal Maint Ph2&amp;3/"/>
    </mc:Choice>
  </mc:AlternateContent>
  <xr:revisionPtr revIDLastSave="0" documentId="8_{DD0F6DEA-B6BC-462C-9340-E952D2E6FAA9}" xr6:coauthVersionLast="47" xr6:coauthVersionMax="47" xr10:uidLastSave="{00000000-0000-0000-0000-000000000000}"/>
  <bookViews>
    <workbookView xWindow="-120" yWindow="-120" windowWidth="29040" windowHeight="15720" tabRatio="766" xr2:uid="{00000000-000D-0000-FFFF-FFFF00000000}"/>
  </bookViews>
  <sheets>
    <sheet name="Ext. Summary (Classification)" sheetId="19" r:id="rId1"/>
    <sheet name="Quick Summary" sheetId="17" r:id="rId2"/>
    <sheet name="Table" sheetId="1" r:id="rId3"/>
    <sheet name="PrismQC Vols" sheetId="18" r:id="rId4"/>
    <sheet name="Lists" sheetId="3" r:id="rId5"/>
    <sheet name="Sheet2" sheetId="2" state="hidden" r:id="rId6"/>
    <sheet name="Prod" sheetId="15" r:id="rId7"/>
    <sheet name="Labor" sheetId="5" r:id="rId8"/>
    <sheet name="Overhead" sheetId="14" r:id="rId9"/>
    <sheet name="DR-Hyd" sheetId="11" r:id="rId10"/>
    <sheet name="Mob-Hyd" sheetId="12" r:id="rId11"/>
    <sheet name="Demob-Hyd" sheetId="13" r:id="rId12"/>
    <sheet name="DR-Mech" sheetId="16" r:id="rId13"/>
    <sheet name="Mob-Mech" sheetId="7" r:id="rId14"/>
    <sheet name="Demob-Mech" sheetId="8" r:id="rId15"/>
  </sheets>
  <externalReferences>
    <externalReference r:id="rId16"/>
  </externalReferences>
  <definedNames>
    <definedName name="_xlnm._FilterDatabase" localSheetId="2" hidden="1">Table!$A$3:$BX$107</definedName>
    <definedName name="Estimator">[1]ES!$I$4</definedName>
    <definedName name="Owner">[1]ES!$B$3</definedName>
    <definedName name="_xlnm.Print_Area" localSheetId="11">'Demob-Hyd'!$A$3:$E$42</definedName>
    <definedName name="_xlnm.Print_Area" localSheetId="14">'Demob-Mech'!$A$3:$E$42</definedName>
    <definedName name="_xlnm.Print_Area" localSheetId="9">'DR-Hyd'!$A$3:$O$53</definedName>
    <definedName name="_xlnm.Print_Area" localSheetId="12">'DR-Mech'!$A$3:$O$53</definedName>
    <definedName name="_xlnm.Print_Area" localSheetId="0">'Ext. Summary (Classification)'!$B$4:$S$152</definedName>
    <definedName name="_xlnm.Print_Area" localSheetId="7">Labor!$A$5:$J$16</definedName>
    <definedName name="_xlnm.Print_Area" localSheetId="10">'Mob-Hyd'!$A$3:$E$47</definedName>
    <definedName name="_xlnm.Print_Area" localSheetId="13">'Mob-Mech'!$A$3:$E$47</definedName>
    <definedName name="_xlnm.Print_Area" localSheetId="8">Overhead!$A$1:$T$39</definedName>
    <definedName name="Project">[1]ES!$B$4</definedName>
    <definedName name="RevDate">[1]ES!$I$5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B112" i="19" l="1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11" i="19"/>
  <c r="AM8" i="1"/>
  <c r="AB10" i="1"/>
  <c r="AC10" i="1" s="1"/>
  <c r="AD10" i="1" s="1"/>
  <c r="Y10" i="1"/>
  <c r="X10" i="1"/>
  <c r="G10" i="1"/>
  <c r="L10" i="1" s="1"/>
  <c r="D10" i="1"/>
  <c r="D80" i="19"/>
  <c r="D88" i="19"/>
  <c r="D87" i="19"/>
  <c r="D86" i="19"/>
  <c r="D85" i="19"/>
  <c r="D79" i="19"/>
  <c r="D78" i="19"/>
  <c r="D77" i="19"/>
  <c r="D76" i="19"/>
  <c r="D75" i="19"/>
  <c r="D83" i="19"/>
  <c r="D54" i="1" l="1"/>
  <c r="B150" i="19"/>
  <c r="D148" i="19"/>
  <c r="D147" i="19"/>
  <c r="D146" i="19"/>
  <c r="B140" i="19"/>
  <c r="D138" i="19"/>
  <c r="D137" i="19"/>
  <c r="D136" i="19"/>
  <c r="D135" i="19"/>
  <c r="D134" i="19"/>
  <c r="D133" i="19"/>
  <c r="D132" i="19"/>
  <c r="D131" i="19"/>
  <c r="D130" i="19"/>
  <c r="D129" i="19"/>
  <c r="D128" i="19"/>
  <c r="D127" i="19"/>
  <c r="D126" i="19"/>
  <c r="D125" i="19"/>
  <c r="D124" i="19"/>
  <c r="D123" i="19"/>
  <c r="D122" i="19"/>
  <c r="D121" i="19"/>
  <c r="D120" i="19"/>
  <c r="D119" i="19"/>
  <c r="D118" i="19"/>
  <c r="B90" i="19"/>
  <c r="D84" i="19"/>
  <c r="D82" i="19"/>
  <c r="D74" i="19"/>
  <c r="D73" i="19"/>
  <c r="D81" i="19"/>
  <c r="B67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41" i="19"/>
  <c r="D44" i="19"/>
  <c r="D45" i="19"/>
  <c r="B48" i="19"/>
  <c r="D46" i="19"/>
  <c r="D43" i="19"/>
  <c r="D42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B23" i="19"/>
  <c r="D7" i="19" l="1"/>
  <c r="D8" i="19"/>
  <c r="D9" i="19"/>
  <c r="D10" i="19"/>
  <c r="D12" i="19"/>
  <c r="D13" i="19"/>
  <c r="D14" i="19"/>
  <c r="D15" i="19"/>
  <c r="D16" i="19"/>
  <c r="D17" i="19"/>
  <c r="D18" i="19"/>
  <c r="D19" i="19"/>
  <c r="D20" i="19"/>
  <c r="D21" i="19"/>
  <c r="D6" i="19"/>
  <c r="D8" i="1"/>
  <c r="D9" i="1"/>
  <c r="D21" i="1"/>
  <c r="D39" i="1"/>
  <c r="D42" i="1"/>
  <c r="D45" i="1"/>
  <c r="D60" i="1"/>
  <c r="D61" i="1"/>
  <c r="D66" i="1"/>
  <c r="D71" i="1"/>
  <c r="D74" i="1"/>
  <c r="D101" i="1"/>
  <c r="D102" i="1"/>
  <c r="D40" i="1"/>
  <c r="D43" i="1"/>
  <c r="D46" i="1"/>
  <c r="D48" i="1"/>
  <c r="D50" i="1"/>
  <c r="D53" i="1"/>
  <c r="D67" i="1"/>
  <c r="D69" i="1"/>
  <c r="D72" i="1"/>
  <c r="D75" i="1"/>
  <c r="D76" i="1"/>
  <c r="D104" i="1"/>
  <c r="D4" i="1"/>
  <c r="D5" i="1"/>
  <c r="D7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41" i="1"/>
  <c r="D44" i="1"/>
  <c r="D47" i="1"/>
  <c r="D49" i="1"/>
  <c r="D51" i="1"/>
  <c r="D52" i="1"/>
  <c r="D55" i="1"/>
  <c r="D56" i="1"/>
  <c r="D57" i="1"/>
  <c r="D58" i="1"/>
  <c r="D59" i="1"/>
  <c r="D62" i="1"/>
  <c r="D63" i="1"/>
  <c r="D64" i="1"/>
  <c r="D65" i="1"/>
  <c r="D68" i="1"/>
  <c r="D70" i="1"/>
  <c r="D73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3" i="1"/>
  <c r="D105" i="1"/>
  <c r="D106" i="1"/>
  <c r="D107" i="1"/>
  <c r="D6" i="1"/>
  <c r="K11" i="19" l="1"/>
  <c r="E107" i="19"/>
  <c r="E99" i="19"/>
  <c r="E108" i="19"/>
  <c r="E109" i="19"/>
  <c r="E96" i="19"/>
  <c r="E103" i="19"/>
  <c r="E105" i="19"/>
  <c r="E98" i="19"/>
  <c r="E102" i="19"/>
  <c r="E106" i="19"/>
  <c r="E110" i="19"/>
  <c r="E101" i="19"/>
  <c r="E100" i="19"/>
  <c r="E97" i="19"/>
  <c r="E104" i="19"/>
  <c r="E11" i="19"/>
  <c r="E85" i="19"/>
  <c r="E86" i="19"/>
  <c r="E78" i="19"/>
  <c r="E87" i="19"/>
  <c r="E80" i="19"/>
  <c r="E88" i="19"/>
  <c r="E76" i="19"/>
  <c r="E75" i="19"/>
  <c r="E83" i="19"/>
  <c r="E79" i="19"/>
  <c r="E77" i="19"/>
  <c r="E56" i="19"/>
  <c r="E6" i="19"/>
  <c r="E128" i="19"/>
  <c r="E135" i="19"/>
  <c r="E129" i="19"/>
  <c r="E131" i="19"/>
  <c r="E133" i="19"/>
  <c r="E118" i="19"/>
  <c r="E121" i="19"/>
  <c r="E134" i="19"/>
  <c r="E132" i="19"/>
  <c r="E119" i="19"/>
  <c r="E122" i="19"/>
  <c r="E130" i="19"/>
  <c r="E127" i="19"/>
  <c r="E126" i="19"/>
  <c r="E137" i="19"/>
  <c r="E147" i="19"/>
  <c r="E125" i="19"/>
  <c r="E123" i="19"/>
  <c r="E148" i="19"/>
  <c r="E138" i="19"/>
  <c r="E120" i="19"/>
  <c r="E124" i="19"/>
  <c r="E136" i="19"/>
  <c r="E146" i="19"/>
  <c r="E29" i="19"/>
  <c r="E81" i="19"/>
  <c r="E54" i="19"/>
  <c r="E74" i="19"/>
  <c r="E73" i="19"/>
  <c r="E82" i="19"/>
  <c r="E84" i="19"/>
  <c r="E60" i="19"/>
  <c r="E55" i="19"/>
  <c r="E59" i="19"/>
  <c r="E57" i="19"/>
  <c r="E58" i="19"/>
  <c r="E62" i="19"/>
  <c r="E61" i="19"/>
  <c r="E65" i="19"/>
  <c r="E63" i="19"/>
  <c r="E64" i="19"/>
  <c r="E41" i="19"/>
  <c r="E39" i="19"/>
  <c r="E32" i="19"/>
  <c r="E30" i="19"/>
  <c r="E31" i="19"/>
  <c r="E33" i="19"/>
  <c r="E43" i="19"/>
  <c r="E46" i="19"/>
  <c r="E42" i="19"/>
  <c r="E36" i="19"/>
  <c r="E34" i="19"/>
  <c r="E37" i="19"/>
  <c r="E35" i="19"/>
  <c r="E44" i="19"/>
  <c r="E40" i="19"/>
  <c r="E38" i="19"/>
  <c r="E45" i="19"/>
  <c r="E21" i="19"/>
  <c r="E18" i="19"/>
  <c r="E14" i="19"/>
  <c r="E8" i="19"/>
  <c r="E13" i="19"/>
  <c r="E12" i="19"/>
  <c r="E9" i="19"/>
  <c r="E7" i="19"/>
  <c r="E20" i="19"/>
  <c r="E19" i="19"/>
  <c r="E15" i="19"/>
  <c r="E10" i="19"/>
  <c r="E17" i="19"/>
  <c r="E16" i="19"/>
  <c r="I39" i="14"/>
  <c r="D39" i="14"/>
  <c r="F39" i="14"/>
  <c r="M141" i="19" l="1"/>
  <c r="N141" i="19"/>
  <c r="F141" i="19"/>
  <c r="G141" i="19"/>
  <c r="K141" i="19"/>
  <c r="I141" i="19"/>
  <c r="L141" i="19"/>
  <c r="J141" i="19"/>
  <c r="H141" i="19"/>
  <c r="N49" i="19"/>
  <c r="M49" i="19"/>
  <c r="L49" i="19"/>
  <c r="K49" i="19"/>
  <c r="J49" i="19"/>
  <c r="I49" i="19"/>
  <c r="H49" i="19"/>
  <c r="G49" i="19"/>
  <c r="F49" i="19"/>
  <c r="H24" i="19"/>
  <c r="G24" i="19"/>
  <c r="F24" i="19"/>
  <c r="N24" i="19"/>
  <c r="M24" i="19"/>
  <c r="L24" i="19"/>
  <c r="K24" i="19"/>
  <c r="I24" i="19"/>
  <c r="J24" i="19"/>
  <c r="I20" i="14"/>
  <c r="S141" i="19" l="1"/>
  <c r="R141" i="19"/>
  <c r="O141" i="19"/>
  <c r="Q141" i="19"/>
  <c r="P141" i="19"/>
  <c r="O24" i="19"/>
  <c r="P24" i="19"/>
  <c r="R24" i="19"/>
  <c r="S24" i="19"/>
  <c r="Q24" i="19"/>
  <c r="P49" i="19"/>
  <c r="O49" i="19"/>
  <c r="S49" i="19"/>
  <c r="R49" i="19"/>
  <c r="Q49" i="19"/>
  <c r="K27" i="14"/>
  <c r="F27" i="14"/>
  <c r="K26" i="14"/>
  <c r="F26" i="14"/>
  <c r="E41" i="8" l="1"/>
  <c r="E41" i="13"/>
  <c r="C32" i="13" s="1"/>
  <c r="C33" i="13"/>
  <c r="E46" i="12"/>
  <c r="C35" i="12" s="1"/>
  <c r="E46" i="7"/>
  <c r="C35" i="7" s="1"/>
  <c r="C36" i="12"/>
  <c r="E23" i="8"/>
  <c r="D26" i="8"/>
  <c r="E26" i="8" s="1"/>
  <c r="E27" i="8"/>
  <c r="E8" i="7"/>
  <c r="C36" i="7"/>
  <c r="F16" i="14"/>
  <c r="E19" i="7"/>
  <c r="B30" i="14"/>
  <c r="F31" i="14"/>
  <c r="G9" i="14"/>
  <c r="B11" i="18"/>
  <c r="C11" i="18"/>
  <c r="D11" i="18"/>
  <c r="E11" i="18"/>
  <c r="F11" i="18"/>
  <c r="G11" i="18"/>
  <c r="G3" i="18"/>
  <c r="F3" i="18"/>
  <c r="E3" i="18"/>
  <c r="C3" i="18"/>
  <c r="D3" i="18"/>
  <c r="B3" i="18"/>
  <c r="E28" i="8" l="1"/>
  <c r="Y4" i="1"/>
  <c r="Y5" i="1"/>
  <c r="Y6" i="1"/>
  <c r="Y8" i="1"/>
  <c r="Y11" i="1"/>
  <c r="Y12" i="1"/>
  <c r="Y13" i="1"/>
  <c r="Y15" i="1"/>
  <c r="Y16" i="1"/>
  <c r="Y17" i="1"/>
  <c r="Y18" i="1"/>
  <c r="Y19" i="1"/>
  <c r="Y20" i="1"/>
  <c r="Y22" i="1"/>
  <c r="Y21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60" i="1"/>
  <c r="Y54" i="1"/>
  <c r="Y55" i="1"/>
  <c r="Y56" i="1"/>
  <c r="Y57" i="1"/>
  <c r="Y58" i="1"/>
  <c r="Y59" i="1"/>
  <c r="Y61" i="1"/>
  <c r="Y62" i="1"/>
  <c r="Y63" i="1"/>
  <c r="Y64" i="1"/>
  <c r="Y65" i="1"/>
  <c r="Y66" i="1"/>
  <c r="Y68" i="1"/>
  <c r="Y67" i="1"/>
  <c r="Y70" i="1"/>
  <c r="Y69" i="1"/>
  <c r="Y72" i="1"/>
  <c r="Y73" i="1"/>
  <c r="Y71" i="1"/>
  <c r="Y74" i="1"/>
  <c r="Y75" i="1"/>
  <c r="Y77" i="1"/>
  <c r="Y78" i="1"/>
  <c r="Y79" i="1"/>
  <c r="Y80" i="1"/>
  <c r="Y76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3" i="1"/>
  <c r="Y102" i="1"/>
  <c r="Y104" i="1"/>
  <c r="X5" i="1"/>
  <c r="X6" i="1"/>
  <c r="X7" i="1"/>
  <c r="X8" i="1"/>
  <c r="X9" i="1"/>
  <c r="X11" i="1"/>
  <c r="X12" i="1"/>
  <c r="X13" i="1"/>
  <c r="X14" i="1"/>
  <c r="X15" i="1"/>
  <c r="X16" i="1"/>
  <c r="X17" i="1"/>
  <c r="X18" i="1"/>
  <c r="X19" i="1"/>
  <c r="X20" i="1"/>
  <c r="X22" i="1"/>
  <c r="X21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60" i="1"/>
  <c r="X54" i="1"/>
  <c r="X55" i="1"/>
  <c r="X56" i="1"/>
  <c r="X57" i="1"/>
  <c r="X58" i="1"/>
  <c r="X59" i="1"/>
  <c r="X61" i="1"/>
  <c r="X62" i="1"/>
  <c r="X63" i="1"/>
  <c r="X64" i="1"/>
  <c r="X65" i="1"/>
  <c r="X66" i="1"/>
  <c r="X68" i="1"/>
  <c r="X67" i="1"/>
  <c r="X70" i="1"/>
  <c r="X69" i="1"/>
  <c r="X72" i="1"/>
  <c r="X73" i="1"/>
  <c r="X71" i="1"/>
  <c r="X74" i="1"/>
  <c r="X75" i="1"/>
  <c r="X77" i="1"/>
  <c r="X78" i="1"/>
  <c r="X79" i="1"/>
  <c r="X80" i="1"/>
  <c r="X76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3" i="1"/>
  <c r="X102" i="1"/>
  <c r="X104" i="1"/>
  <c r="X4" i="1"/>
  <c r="G5" i="18" l="1"/>
  <c r="F5" i="18"/>
  <c r="E5" i="18"/>
  <c r="D5" i="18"/>
  <c r="C5" i="18"/>
  <c r="B5" i="18"/>
  <c r="D11" i="3" l="1"/>
  <c r="D12" i="3" s="1"/>
  <c r="D13" i="3" s="1"/>
  <c r="D14" i="3" s="1"/>
  <c r="D15" i="3" s="1"/>
  <c r="C11" i="3"/>
  <c r="C12" i="3" s="1"/>
  <c r="C13" i="3" s="1"/>
  <c r="C14" i="3" s="1"/>
  <c r="C15" i="3" l="1"/>
  <c r="AI105" i="1" l="1"/>
  <c r="AI106" i="1"/>
  <c r="AI107" i="1"/>
  <c r="B8" i="17"/>
  <c r="G4" i="1"/>
  <c r="AB4" i="1"/>
  <c r="AB11" i="1"/>
  <c r="AC11" i="1" s="1"/>
  <c r="AD11" i="1" s="1"/>
  <c r="K12" i="19" s="1"/>
  <c r="AB7" i="1"/>
  <c r="AB12" i="1"/>
  <c r="AB15" i="1"/>
  <c r="AB5" i="1"/>
  <c r="AB6" i="1"/>
  <c r="AB8" i="1"/>
  <c r="AB9" i="1"/>
  <c r="AB13" i="1"/>
  <c r="AB14" i="1"/>
  <c r="AB16" i="1"/>
  <c r="AB17" i="1"/>
  <c r="AB18" i="1"/>
  <c r="AB19" i="1"/>
  <c r="AB36" i="1"/>
  <c r="AB20" i="1"/>
  <c r="AB22" i="1"/>
  <c r="AB21" i="1"/>
  <c r="AC21" i="1" s="1"/>
  <c r="AD21" i="1" s="1"/>
  <c r="K31" i="19" s="1"/>
  <c r="K48" i="19" s="1"/>
  <c r="AB23" i="1"/>
  <c r="AB24" i="1"/>
  <c r="AB25" i="1"/>
  <c r="AB26" i="1"/>
  <c r="AB27" i="1"/>
  <c r="AB28" i="1"/>
  <c r="AB29" i="1"/>
  <c r="AB30" i="1"/>
  <c r="AC30" i="1" s="1"/>
  <c r="AD30" i="1" s="1"/>
  <c r="K39" i="19" s="1"/>
  <c r="AB31" i="1"/>
  <c r="AB32" i="1"/>
  <c r="AB33" i="1"/>
  <c r="AB34" i="1"/>
  <c r="AB35" i="1"/>
  <c r="AB37" i="1"/>
  <c r="AB45" i="1"/>
  <c r="AB38" i="1"/>
  <c r="AB39" i="1"/>
  <c r="AB40" i="1"/>
  <c r="AB41" i="1"/>
  <c r="AB42" i="1"/>
  <c r="AB43" i="1"/>
  <c r="AB44" i="1"/>
  <c r="AB46" i="1"/>
  <c r="AB47" i="1"/>
  <c r="AB48" i="1"/>
  <c r="AB49" i="1"/>
  <c r="AB50" i="1"/>
  <c r="AB51" i="1"/>
  <c r="AB52" i="1"/>
  <c r="AB53" i="1"/>
  <c r="AB60" i="1"/>
  <c r="AB54" i="1"/>
  <c r="AB55" i="1"/>
  <c r="AB56" i="1"/>
  <c r="AB57" i="1"/>
  <c r="AB58" i="1"/>
  <c r="AB59" i="1"/>
  <c r="AB61" i="1"/>
  <c r="AB62" i="1"/>
  <c r="AB63" i="1"/>
  <c r="AB64" i="1"/>
  <c r="AB65" i="1"/>
  <c r="AB66" i="1"/>
  <c r="AB68" i="1"/>
  <c r="AB67" i="1"/>
  <c r="AB70" i="1"/>
  <c r="AB69" i="1"/>
  <c r="AB72" i="1"/>
  <c r="AB73" i="1"/>
  <c r="AB71" i="1"/>
  <c r="AB74" i="1"/>
  <c r="AB77" i="1"/>
  <c r="AB78" i="1"/>
  <c r="AB79" i="1"/>
  <c r="AB80" i="1"/>
  <c r="AB76" i="1"/>
  <c r="AB75" i="1"/>
  <c r="AB96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7" i="1"/>
  <c r="AB98" i="1"/>
  <c r="AB99" i="1"/>
  <c r="AB100" i="1"/>
  <c r="AB101" i="1"/>
  <c r="AB103" i="1"/>
  <c r="AB102" i="1"/>
  <c r="AB104" i="1"/>
  <c r="K35" i="14"/>
  <c r="K33" i="14"/>
  <c r="K32" i="14"/>
  <c r="K31" i="14"/>
  <c r="F35" i="14"/>
  <c r="F33" i="14"/>
  <c r="F32" i="14"/>
  <c r="G33" i="14"/>
  <c r="G32" i="14"/>
  <c r="G31" i="14"/>
  <c r="G30" i="14"/>
  <c r="B31" i="14"/>
  <c r="B8" i="14"/>
  <c r="D32" i="13" l="1"/>
  <c r="E32" i="13" s="1"/>
  <c r="F9" i="14"/>
  <c r="D35" i="12"/>
  <c r="E35" i="12" s="1"/>
  <c r="D36" i="12"/>
  <c r="E36" i="12" s="1"/>
  <c r="D33" i="13"/>
  <c r="E33" i="13" s="1"/>
  <c r="F11" i="14"/>
  <c r="F8" i="14"/>
  <c r="B10" i="14"/>
  <c r="F10" i="14" s="1"/>
  <c r="B3" i="14"/>
  <c r="B2" i="14"/>
  <c r="E17" i="8"/>
  <c r="E14" i="8"/>
  <c r="E13" i="8"/>
  <c r="E9" i="8"/>
  <c r="E8" i="8"/>
  <c r="B5" i="8"/>
  <c r="B4" i="8"/>
  <c r="E41" i="7"/>
  <c r="E42" i="7"/>
  <c r="D28" i="7"/>
  <c r="E28" i="7" s="1"/>
  <c r="E16" i="7"/>
  <c r="E15" i="7"/>
  <c r="E14" i="7"/>
  <c r="E10" i="7"/>
  <c r="E9" i="7"/>
  <c r="E8" i="12"/>
  <c r="B5" i="7"/>
  <c r="B4" i="7"/>
  <c r="J9" i="16"/>
  <c r="F50" i="16"/>
  <c r="G50" i="16" s="1"/>
  <c r="N50" i="16" s="1"/>
  <c r="O50" i="16" s="1"/>
  <c r="F49" i="16"/>
  <c r="G49" i="16" s="1"/>
  <c r="N49" i="16" s="1"/>
  <c r="O49" i="16" s="1"/>
  <c r="I48" i="16"/>
  <c r="J48" i="16" s="1"/>
  <c r="O48" i="16" s="1"/>
  <c r="F45" i="16"/>
  <c r="G45" i="16" s="1"/>
  <c r="N45" i="16" s="1"/>
  <c r="O45" i="16" s="1"/>
  <c r="F44" i="16"/>
  <c r="G44" i="16" s="1"/>
  <c r="N44" i="16" s="1"/>
  <c r="O44" i="16" s="1"/>
  <c r="F43" i="16"/>
  <c r="G43" i="16" s="1"/>
  <c r="N43" i="16" s="1"/>
  <c r="O43" i="16" s="1"/>
  <c r="J42" i="16"/>
  <c r="I41" i="16"/>
  <c r="J41" i="16" s="1"/>
  <c r="O41" i="16" s="1"/>
  <c r="C35" i="16"/>
  <c r="B35" i="16"/>
  <c r="J33" i="16"/>
  <c r="O33" i="16" s="1"/>
  <c r="J32" i="16"/>
  <c r="O32" i="16" s="1"/>
  <c r="J31" i="16"/>
  <c r="O31" i="16" s="1"/>
  <c r="J30" i="16"/>
  <c r="O30" i="16" s="1"/>
  <c r="F29" i="16"/>
  <c r="G29" i="16" s="1"/>
  <c r="N29" i="16" s="1"/>
  <c r="O29" i="16" s="1"/>
  <c r="F28" i="16"/>
  <c r="G28" i="16" s="1"/>
  <c r="N28" i="16" s="1"/>
  <c r="O28" i="16" s="1"/>
  <c r="F27" i="16"/>
  <c r="G27" i="16" s="1"/>
  <c r="N27" i="16" s="1"/>
  <c r="O27" i="16" s="1"/>
  <c r="J26" i="16"/>
  <c r="O26" i="16" s="1"/>
  <c r="F23" i="16"/>
  <c r="G23" i="16" s="1"/>
  <c r="N23" i="16" s="1"/>
  <c r="O23" i="16" s="1"/>
  <c r="F22" i="16"/>
  <c r="G22" i="16" s="1"/>
  <c r="N22" i="16" s="1"/>
  <c r="O22" i="16" s="1"/>
  <c r="O21" i="16"/>
  <c r="J21" i="16"/>
  <c r="O20" i="16"/>
  <c r="J20" i="16"/>
  <c r="F17" i="16"/>
  <c r="G17" i="16" s="1"/>
  <c r="N17" i="16" s="1"/>
  <c r="O17" i="16" s="1"/>
  <c r="F16" i="16"/>
  <c r="G16" i="16" s="1"/>
  <c r="N16" i="16" s="1"/>
  <c r="O16" i="16" s="1"/>
  <c r="I15" i="16"/>
  <c r="J15" i="16" s="1"/>
  <c r="O15" i="16" s="1"/>
  <c r="F12" i="16"/>
  <c r="G12" i="16" s="1"/>
  <c r="N12" i="16" s="1"/>
  <c r="O12" i="16" s="1"/>
  <c r="F11" i="16"/>
  <c r="G11" i="16" s="1"/>
  <c r="N11" i="16" s="1"/>
  <c r="O11" i="16" s="1"/>
  <c r="F10" i="16"/>
  <c r="G10" i="16" s="1"/>
  <c r="N10" i="16" s="1"/>
  <c r="O10" i="16" s="1"/>
  <c r="V9" i="16"/>
  <c r="O9" i="16"/>
  <c r="V8" i="16"/>
  <c r="J8" i="16"/>
  <c r="O8" i="16" s="1"/>
  <c r="I8" i="16"/>
  <c r="G7" i="1"/>
  <c r="G12" i="1"/>
  <c r="G15" i="1"/>
  <c r="G5" i="1"/>
  <c r="G6" i="1"/>
  <c r="G8" i="1"/>
  <c r="G9" i="1"/>
  <c r="G11" i="1"/>
  <c r="G13" i="1"/>
  <c r="G14" i="1"/>
  <c r="G16" i="1"/>
  <c r="G17" i="1"/>
  <c r="G18" i="1"/>
  <c r="G19" i="1"/>
  <c r="G36" i="1"/>
  <c r="G20" i="1"/>
  <c r="G22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45" i="1"/>
  <c r="G38" i="1"/>
  <c r="G39" i="1"/>
  <c r="G40" i="1"/>
  <c r="G41" i="1"/>
  <c r="G42" i="1"/>
  <c r="G43" i="1"/>
  <c r="G44" i="1"/>
  <c r="G46" i="1"/>
  <c r="G47" i="1"/>
  <c r="G48" i="1"/>
  <c r="G49" i="1"/>
  <c r="G50" i="1"/>
  <c r="L50" i="1" s="1"/>
  <c r="G51" i="1"/>
  <c r="G52" i="1"/>
  <c r="G53" i="1"/>
  <c r="G60" i="1"/>
  <c r="G54" i="1"/>
  <c r="G55" i="1"/>
  <c r="G56" i="1"/>
  <c r="G57" i="1"/>
  <c r="G58" i="1"/>
  <c r="G59" i="1"/>
  <c r="G61" i="1"/>
  <c r="G62" i="1"/>
  <c r="G63" i="1"/>
  <c r="G64" i="1"/>
  <c r="G65" i="1"/>
  <c r="G66" i="1"/>
  <c r="G68" i="1"/>
  <c r="G67" i="1"/>
  <c r="G70" i="1"/>
  <c r="G69" i="1"/>
  <c r="G72" i="1"/>
  <c r="G73" i="1"/>
  <c r="G71" i="1"/>
  <c r="G74" i="1"/>
  <c r="G77" i="1"/>
  <c r="G78" i="1"/>
  <c r="G79" i="1"/>
  <c r="G80" i="1"/>
  <c r="G76" i="1"/>
  <c r="G75" i="1"/>
  <c r="G96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7" i="1"/>
  <c r="G98" i="1"/>
  <c r="G99" i="1"/>
  <c r="G100" i="1"/>
  <c r="G101" i="1"/>
  <c r="G103" i="1"/>
  <c r="G102" i="1"/>
  <c r="G104" i="1"/>
  <c r="E37" i="12" l="1"/>
  <c r="E34" i="13"/>
  <c r="O51" i="16"/>
  <c r="O52" i="16" s="1"/>
  <c r="O53" i="16" s="1"/>
  <c r="O24" i="16"/>
  <c r="O18" i="16"/>
  <c r="O13" i="16"/>
  <c r="O34" i="16"/>
  <c r="O46" i="16"/>
  <c r="O35" i="16"/>
  <c r="D20" i="15"/>
  <c r="C19" i="15"/>
  <c r="C21" i="15" s="1"/>
  <c r="B19" i="15"/>
  <c r="B21" i="15" s="1"/>
  <c r="D18" i="15"/>
  <c r="C11" i="15"/>
  <c r="D11" i="15"/>
  <c r="B11" i="15"/>
  <c r="D9" i="15"/>
  <c r="C9" i="15"/>
  <c r="B9" i="15"/>
  <c r="D10" i="15"/>
  <c r="D8" i="15"/>
  <c r="T36" i="14"/>
  <c r="P36" i="14"/>
  <c r="T34" i="14"/>
  <c r="P34" i="14"/>
  <c r="Q33" i="14"/>
  <c r="M33" i="14"/>
  <c r="B33" i="14"/>
  <c r="Q32" i="14"/>
  <c r="M32" i="14"/>
  <c r="B32" i="14"/>
  <c r="Q31" i="14"/>
  <c r="M31" i="14"/>
  <c r="Q30" i="14"/>
  <c r="M30" i="14"/>
  <c r="S23" i="14"/>
  <c r="O23" i="14"/>
  <c r="I23" i="14"/>
  <c r="S22" i="14"/>
  <c r="O22" i="14"/>
  <c r="I22" i="14"/>
  <c r="S21" i="14"/>
  <c r="O21" i="14"/>
  <c r="I21" i="14"/>
  <c r="K39" i="14" s="1"/>
  <c r="S20" i="14"/>
  <c r="O20" i="14"/>
  <c r="Q12" i="14"/>
  <c r="M12" i="14"/>
  <c r="G12" i="14"/>
  <c r="B12" i="14"/>
  <c r="F12" i="14" s="1"/>
  <c r="G11" i="14"/>
  <c r="D26" i="13"/>
  <c r="E26" i="13" s="1"/>
  <c r="E17" i="13"/>
  <c r="E42" i="13" s="1"/>
  <c r="E43" i="12"/>
  <c r="E41" i="12"/>
  <c r="E29" i="12"/>
  <c r="D28" i="12"/>
  <c r="E19" i="12"/>
  <c r="E47" i="12" s="1"/>
  <c r="J32" i="11"/>
  <c r="J30" i="11"/>
  <c r="O32" i="11"/>
  <c r="N29" i="11"/>
  <c r="N11" i="11"/>
  <c r="J26" i="11"/>
  <c r="F29" i="11"/>
  <c r="G29" i="11" s="1"/>
  <c r="F11" i="11"/>
  <c r="G11" i="11" s="1"/>
  <c r="F28" i="11"/>
  <c r="G28" i="11" s="1"/>
  <c r="N28" i="11" s="1"/>
  <c r="O28" i="11" s="1"/>
  <c r="F27" i="11"/>
  <c r="G27" i="11" s="1"/>
  <c r="N27" i="11" s="1"/>
  <c r="O27" i="11" s="1"/>
  <c r="B5" i="13"/>
  <c r="B4" i="13"/>
  <c r="B5" i="12"/>
  <c r="B4" i="12"/>
  <c r="E38" i="13"/>
  <c r="E37" i="13"/>
  <c r="E27" i="13"/>
  <c r="E23" i="13"/>
  <c r="E42" i="12"/>
  <c r="E30" i="12"/>
  <c r="E23" i="12"/>
  <c r="E24" i="12" s="1"/>
  <c r="J9" i="11"/>
  <c r="O9" i="11" s="1"/>
  <c r="I48" i="11"/>
  <c r="J48" i="11" s="1"/>
  <c r="J42" i="11"/>
  <c r="I41" i="11"/>
  <c r="J41" i="11" s="1"/>
  <c r="O41" i="11" s="1"/>
  <c r="I8" i="11"/>
  <c r="J8" i="11" s="1"/>
  <c r="I15" i="11"/>
  <c r="J15" i="11" s="1"/>
  <c r="J21" i="11"/>
  <c r="O21" i="11" s="1"/>
  <c r="J20" i="11"/>
  <c r="O20" i="11" s="1"/>
  <c r="G45" i="11"/>
  <c r="G44" i="11"/>
  <c r="G43" i="11"/>
  <c r="G22" i="11"/>
  <c r="B35" i="11"/>
  <c r="F50" i="11"/>
  <c r="G50" i="11" s="1"/>
  <c r="F49" i="11"/>
  <c r="G49" i="11" s="1"/>
  <c r="F45" i="11"/>
  <c r="F44" i="11"/>
  <c r="F43" i="11"/>
  <c r="C35" i="11"/>
  <c r="J33" i="11"/>
  <c r="J31" i="11"/>
  <c r="O26" i="11"/>
  <c r="F23" i="11"/>
  <c r="G23" i="11" s="1"/>
  <c r="F22" i="11"/>
  <c r="F17" i="11"/>
  <c r="G17" i="11" s="1"/>
  <c r="F16" i="11"/>
  <c r="G16" i="11" s="1"/>
  <c r="F12" i="11"/>
  <c r="G12" i="11" s="1"/>
  <c r="F10" i="11"/>
  <c r="G10" i="11" s="1"/>
  <c r="V9" i="11"/>
  <c r="V8" i="11"/>
  <c r="E10" i="8"/>
  <c r="E15" i="8"/>
  <c r="E37" i="8"/>
  <c r="E38" i="8"/>
  <c r="E11" i="7"/>
  <c r="E17" i="7"/>
  <c r="E23" i="7"/>
  <c r="E24" i="7" s="1"/>
  <c r="E29" i="7"/>
  <c r="E30" i="7"/>
  <c r="E31" i="7" s="1"/>
  <c r="E43" i="7"/>
  <c r="E44" i="7" s="1"/>
  <c r="B2" i="5"/>
  <c r="B3" i="5"/>
  <c r="D9" i="5"/>
  <c r="H12" i="5"/>
  <c r="F13" i="5"/>
  <c r="G13" i="5"/>
  <c r="H13" i="5"/>
  <c r="I13" i="5"/>
  <c r="J13" i="5"/>
  <c r="F14" i="5"/>
  <c r="G14" i="5" s="1"/>
  <c r="H14" i="5" s="1"/>
  <c r="I14" i="5" s="1"/>
  <c r="F15" i="5"/>
  <c r="G15" i="5"/>
  <c r="H15" i="5" s="1"/>
  <c r="I15" i="5" s="1"/>
  <c r="F16" i="5"/>
  <c r="G16" i="5"/>
  <c r="H16" i="5"/>
  <c r="I16" i="5"/>
  <c r="J16" i="5"/>
  <c r="K11" i="14" l="1"/>
  <c r="C33" i="8"/>
  <c r="D36" i="7"/>
  <c r="E36" i="7" s="1"/>
  <c r="K9" i="14"/>
  <c r="D33" i="8"/>
  <c r="E33" i="8" s="1"/>
  <c r="D35" i="7"/>
  <c r="D32" i="8"/>
  <c r="E28" i="12"/>
  <c r="E31" i="12" s="1"/>
  <c r="G10" i="14"/>
  <c r="K10" i="14" s="1"/>
  <c r="C32" i="8"/>
  <c r="E32" i="8" s="1"/>
  <c r="E34" i="8" s="1"/>
  <c r="E42" i="8" s="1"/>
  <c r="G8" i="14"/>
  <c r="K8" i="14" s="1"/>
  <c r="E35" i="7"/>
  <c r="E37" i="7" s="1"/>
  <c r="E47" i="7" s="1"/>
  <c r="M10" i="14"/>
  <c r="Q10" i="14"/>
  <c r="E39" i="8"/>
  <c r="M8" i="14"/>
  <c r="Q8" i="14"/>
  <c r="D19" i="15"/>
  <c r="D21" i="15" s="1"/>
  <c r="E28" i="13"/>
  <c r="E39" i="13"/>
  <c r="O29" i="11"/>
  <c r="E44" i="12"/>
  <c r="N44" i="11"/>
  <c r="O44" i="11" s="1"/>
  <c r="O48" i="11"/>
  <c r="N50" i="11"/>
  <c r="O50" i="11" s="1"/>
  <c r="N49" i="11"/>
  <c r="O49" i="11" s="1"/>
  <c r="N45" i="11"/>
  <c r="O45" i="11" s="1"/>
  <c r="N43" i="11"/>
  <c r="O43" i="11" s="1"/>
  <c r="N23" i="11"/>
  <c r="O23" i="11" s="1"/>
  <c r="N22" i="11"/>
  <c r="O22" i="11" s="1"/>
  <c r="O24" i="11" s="1"/>
  <c r="N16" i="11"/>
  <c r="O16" i="11" s="1"/>
  <c r="N17" i="11"/>
  <c r="O17" i="11" s="1"/>
  <c r="N12" i="11"/>
  <c r="O12" i="11" s="1"/>
  <c r="O11" i="11"/>
  <c r="N10" i="11"/>
  <c r="O10" i="11" s="1"/>
  <c r="O8" i="11"/>
  <c r="O33" i="11"/>
  <c r="O30" i="11"/>
  <c r="O31" i="11"/>
  <c r="O15" i="11"/>
  <c r="J14" i="5"/>
  <c r="J15" i="5"/>
  <c r="Q13" i="14" l="1"/>
  <c r="Q15" i="14" s="1"/>
  <c r="Q35" i="14" s="1"/>
  <c r="T35" i="14" s="1"/>
  <c r="G13" i="14"/>
  <c r="M13" i="14"/>
  <c r="P30" i="14" s="1"/>
  <c r="B13" i="14"/>
  <c r="F13" i="14" s="1"/>
  <c r="L94" i="1"/>
  <c r="O34" i="11"/>
  <c r="O51" i="11"/>
  <c r="O46" i="11"/>
  <c r="O18" i="11"/>
  <c r="O13" i="11"/>
  <c r="L103" i="1" l="1"/>
  <c r="L29" i="1"/>
  <c r="L70" i="1"/>
  <c r="L68" i="1"/>
  <c r="L74" i="1"/>
  <c r="L82" i="1"/>
  <c r="L53" i="1"/>
  <c r="L61" i="1"/>
  <c r="L21" i="1"/>
  <c r="L32" i="1"/>
  <c r="L62" i="1"/>
  <c r="L100" i="1"/>
  <c r="L79" i="1"/>
  <c r="T32" i="14"/>
  <c r="Q14" i="14"/>
  <c r="T20" i="14" s="1"/>
  <c r="L77" i="1"/>
  <c r="L55" i="1"/>
  <c r="L86" i="1"/>
  <c r="L25" i="1"/>
  <c r="L99" i="1"/>
  <c r="L30" i="1"/>
  <c r="L66" i="1"/>
  <c r="L35" i="1"/>
  <c r="L81" i="1"/>
  <c r="L76" i="1"/>
  <c r="L73" i="1"/>
  <c r="L83" i="1"/>
  <c r="L41" i="1"/>
  <c r="L44" i="1"/>
  <c r="L54" i="1"/>
  <c r="L26" i="1"/>
  <c r="L90" i="1"/>
  <c r="L93" i="1"/>
  <c r="L23" i="1"/>
  <c r="L20" i="1"/>
  <c r="L39" i="1"/>
  <c r="L36" i="1"/>
  <c r="L98" i="1"/>
  <c r="L63" i="1"/>
  <c r="L91" i="1"/>
  <c r="L28" i="1"/>
  <c r="L38" i="1"/>
  <c r="L42" i="1"/>
  <c r="L57" i="1"/>
  <c r="L85" i="1"/>
  <c r="L47" i="1"/>
  <c r="L96" i="1"/>
  <c r="L31" i="1"/>
  <c r="L48" i="1"/>
  <c r="L72" i="1"/>
  <c r="L43" i="1"/>
  <c r="L27" i="1"/>
  <c r="L75" i="1"/>
  <c r="L65" i="1"/>
  <c r="L34" i="1"/>
  <c r="L64" i="1"/>
  <c r="L102" i="1"/>
  <c r="L97" i="1"/>
  <c r="L69" i="1"/>
  <c r="L52" i="1"/>
  <c r="L67" i="1"/>
  <c r="L84" i="1"/>
  <c r="L58" i="1"/>
  <c r="L60" i="1"/>
  <c r="L33" i="1"/>
  <c r="L45" i="1"/>
  <c r="L46" i="1"/>
  <c r="L56" i="1"/>
  <c r="L88" i="1"/>
  <c r="L22" i="1"/>
  <c r="L59" i="1"/>
  <c r="L80" i="1"/>
  <c r="L101" i="1"/>
  <c r="L89" i="1"/>
  <c r="L24" i="1"/>
  <c r="L40" i="1"/>
  <c r="L95" i="1"/>
  <c r="L92" i="1"/>
  <c r="L49" i="1"/>
  <c r="L104" i="1"/>
  <c r="L37" i="1"/>
  <c r="L51" i="1"/>
  <c r="L87" i="1"/>
  <c r="L71" i="1"/>
  <c r="L78" i="1"/>
  <c r="T30" i="14"/>
  <c r="G14" i="14"/>
  <c r="G15" i="14"/>
  <c r="T33" i="14"/>
  <c r="M15" i="14"/>
  <c r="M35" i="14" s="1"/>
  <c r="P35" i="14" s="1"/>
  <c r="M14" i="14"/>
  <c r="P22" i="14" s="1"/>
  <c r="B14" i="14"/>
  <c r="F14" i="14" s="1"/>
  <c r="B15" i="14"/>
  <c r="F15" i="14" s="1"/>
  <c r="E14" i="12"/>
  <c r="E9" i="12"/>
  <c r="E14" i="13"/>
  <c r="E13" i="13"/>
  <c r="E15" i="13" s="1"/>
  <c r="E9" i="13"/>
  <c r="E8" i="13"/>
  <c r="E10" i="12"/>
  <c r="E16" i="12"/>
  <c r="E15" i="12"/>
  <c r="E10" i="13"/>
  <c r="O52" i="11"/>
  <c r="O53" i="11" s="1"/>
  <c r="O35" i="11"/>
  <c r="H96" i="19" l="1"/>
  <c r="H106" i="19"/>
  <c r="H97" i="19"/>
  <c r="H100" i="19"/>
  <c r="H105" i="19"/>
  <c r="H107" i="19"/>
  <c r="H110" i="19"/>
  <c r="H98" i="19"/>
  <c r="H108" i="19"/>
  <c r="H99" i="19"/>
  <c r="H101" i="19"/>
  <c r="H102" i="19"/>
  <c r="H104" i="19"/>
  <c r="H103" i="19"/>
  <c r="H109" i="19"/>
  <c r="H78" i="19"/>
  <c r="H77" i="19"/>
  <c r="H83" i="19"/>
  <c r="H80" i="19"/>
  <c r="H76" i="19"/>
  <c r="H88" i="19"/>
  <c r="H75" i="19"/>
  <c r="H87" i="19"/>
  <c r="H86" i="19"/>
  <c r="H85" i="19"/>
  <c r="H79" i="19"/>
  <c r="H130" i="19"/>
  <c r="H126" i="19"/>
  <c r="H122" i="19"/>
  <c r="H125" i="19"/>
  <c r="H124" i="19"/>
  <c r="H123" i="19"/>
  <c r="H138" i="19"/>
  <c r="H140" i="19" s="1"/>
  <c r="H137" i="19"/>
  <c r="H121" i="19"/>
  <c r="H120" i="19"/>
  <c r="H119" i="19"/>
  <c r="H118" i="19"/>
  <c r="H136" i="19"/>
  <c r="H135" i="19"/>
  <c r="H134" i="19"/>
  <c r="H133" i="19"/>
  <c r="H132" i="19"/>
  <c r="H131" i="19"/>
  <c r="H129" i="19"/>
  <c r="H128" i="19"/>
  <c r="H127" i="19"/>
  <c r="H148" i="19"/>
  <c r="H151" i="19" s="1"/>
  <c r="H147" i="19"/>
  <c r="H146" i="19"/>
  <c r="H152" i="19" s="1"/>
  <c r="H84" i="19"/>
  <c r="H82" i="19"/>
  <c r="H74" i="19"/>
  <c r="H73" i="19"/>
  <c r="H81" i="19"/>
  <c r="H65" i="19"/>
  <c r="H61" i="19"/>
  <c r="H57" i="19"/>
  <c r="H64" i="19"/>
  <c r="H60" i="19"/>
  <c r="H56" i="19"/>
  <c r="H63" i="19"/>
  <c r="H59" i="19"/>
  <c r="H55" i="19"/>
  <c r="H62" i="19"/>
  <c r="H58" i="19"/>
  <c r="H54" i="19"/>
  <c r="H44" i="19"/>
  <c r="H43" i="19"/>
  <c r="H42" i="19"/>
  <c r="H36" i="19"/>
  <c r="H41" i="19"/>
  <c r="H39" i="19"/>
  <c r="H40" i="19"/>
  <c r="H38" i="19"/>
  <c r="H37" i="19"/>
  <c r="H35" i="19"/>
  <c r="H34" i="19"/>
  <c r="H32" i="19"/>
  <c r="H33" i="19"/>
  <c r="H46" i="19"/>
  <c r="H30" i="19"/>
  <c r="H45" i="19"/>
  <c r="H29" i="19"/>
  <c r="H31" i="19"/>
  <c r="H48" i="19" s="1"/>
  <c r="T31" i="14"/>
  <c r="T22" i="14"/>
  <c r="T23" i="14"/>
  <c r="T21" i="14"/>
  <c r="P23" i="14"/>
  <c r="P33" i="14"/>
  <c r="P32" i="14"/>
  <c r="P31" i="14"/>
  <c r="P21" i="14"/>
  <c r="P20" i="14"/>
  <c r="T37" i="14"/>
  <c r="T24" i="14"/>
  <c r="P37" i="14"/>
  <c r="E11" i="12"/>
  <c r="H150" i="19" l="1"/>
  <c r="H114" i="19"/>
  <c r="H113" i="19"/>
  <c r="H112" i="19"/>
  <c r="H90" i="19"/>
  <c r="H142" i="19"/>
  <c r="H91" i="19"/>
  <c r="H67" i="19"/>
  <c r="H50" i="19"/>
  <c r="H69" i="19"/>
  <c r="H68" i="19"/>
  <c r="H92" i="19"/>
  <c r="P24" i="14"/>
  <c r="T39" i="14"/>
  <c r="P39" i="14"/>
  <c r="E17" i="12"/>
  <c r="L17" i="1" l="1"/>
  <c r="L13" i="1"/>
  <c r="L12" i="1"/>
  <c r="L19" i="1"/>
  <c r="L14" i="1"/>
  <c r="L9" i="1"/>
  <c r="L7" i="1"/>
  <c r="L16" i="1"/>
  <c r="L4" i="1"/>
  <c r="L6" i="1"/>
  <c r="L5" i="1"/>
  <c r="L18" i="1"/>
  <c r="L11" i="1"/>
  <c r="L8" i="1"/>
  <c r="L15" i="1"/>
  <c r="H11" i="19" l="1"/>
  <c r="E14" i="17"/>
  <c r="E23" i="17" s="1"/>
  <c r="H17" i="19"/>
  <c r="H18" i="19"/>
  <c r="H20" i="19"/>
  <c r="H19" i="19"/>
  <c r="H7" i="19"/>
  <c r="H21" i="19"/>
  <c r="H8" i="19"/>
  <c r="H9" i="19"/>
  <c r="H12" i="19"/>
  <c r="H10" i="19"/>
  <c r="H13" i="19"/>
  <c r="H14" i="19"/>
  <c r="H15" i="19"/>
  <c r="H16" i="19"/>
  <c r="H6" i="19"/>
  <c r="AP69" i="1"/>
  <c r="AC69" i="1" s="1"/>
  <c r="AD69" i="1" s="1"/>
  <c r="K99" i="19" s="1"/>
  <c r="AP67" i="1"/>
  <c r="AC67" i="1" s="1"/>
  <c r="AD67" i="1" s="1"/>
  <c r="K97" i="19" s="1"/>
  <c r="AP9" i="1"/>
  <c r="AC9" i="1" s="1"/>
  <c r="AD9" i="1" s="1"/>
  <c r="K10" i="19" s="1"/>
  <c r="AP54" i="1"/>
  <c r="AC54" i="1" s="1"/>
  <c r="AD54" i="1" s="1"/>
  <c r="K83" i="19" s="1"/>
  <c r="AP60" i="1"/>
  <c r="AC60" i="1" s="1"/>
  <c r="AD60" i="1" s="1"/>
  <c r="AP76" i="1"/>
  <c r="AC76" i="1" s="1"/>
  <c r="AD76" i="1" s="1"/>
  <c r="K106" i="19" s="1"/>
  <c r="AP103" i="1"/>
  <c r="AC103" i="1" s="1"/>
  <c r="AD103" i="1" s="1"/>
  <c r="K146" i="19" s="1"/>
  <c r="K152" i="19" s="1"/>
  <c r="K84" i="19" l="1"/>
  <c r="H23" i="19"/>
  <c r="E21" i="17"/>
  <c r="E24" i="17"/>
  <c r="E19" i="17"/>
  <c r="E20" i="17"/>
  <c r="E22" i="17"/>
  <c r="H25" i="19"/>
  <c r="AP71" i="1"/>
  <c r="AC71" i="1" s="1"/>
  <c r="AD71" i="1" s="1"/>
  <c r="K101" i="19" s="1"/>
  <c r="AP73" i="1"/>
  <c r="AC73" i="1" s="1"/>
  <c r="AD73" i="1" s="1"/>
  <c r="K103" i="19" s="1"/>
  <c r="AP31" i="1"/>
  <c r="AC31" i="1" s="1"/>
  <c r="AD31" i="1" s="1"/>
  <c r="K40" i="19" s="1"/>
  <c r="AX45" i="1" l="1"/>
  <c r="D5" i="2"/>
  <c r="AW96" i="1"/>
  <c r="AX96" i="1" s="1"/>
  <c r="AW36" i="1"/>
  <c r="AX36" i="1" s="1"/>
  <c r="AW15" i="1"/>
  <c r="AX15" i="1" s="1"/>
  <c r="AW12" i="1"/>
  <c r="AX12" i="1" s="1"/>
  <c r="AW7" i="1"/>
  <c r="AX7" i="1" s="1"/>
  <c r="AW4" i="1"/>
  <c r="AX4" i="1" s="1"/>
  <c r="M10" i="1" l="1"/>
  <c r="M4" i="1"/>
  <c r="M5" i="1"/>
  <c r="N5" i="1" s="1"/>
  <c r="C4" i="2"/>
  <c r="M7" i="1"/>
  <c r="N7" i="1" s="1"/>
  <c r="C2" i="2"/>
  <c r="M14" i="1"/>
  <c r="N14" i="1" s="1"/>
  <c r="M30" i="1"/>
  <c r="M46" i="1"/>
  <c r="M62" i="1"/>
  <c r="M80" i="1"/>
  <c r="M94" i="1"/>
  <c r="M31" i="1"/>
  <c r="M47" i="1"/>
  <c r="M63" i="1"/>
  <c r="M76" i="1"/>
  <c r="M95" i="1"/>
  <c r="M16" i="1"/>
  <c r="N16" i="1" s="1"/>
  <c r="M32" i="1"/>
  <c r="M48" i="1"/>
  <c r="M64" i="1"/>
  <c r="M75" i="1"/>
  <c r="M33" i="1"/>
  <c r="M65" i="1"/>
  <c r="M34" i="1"/>
  <c r="M98" i="1"/>
  <c r="M17" i="1"/>
  <c r="M18" i="1"/>
  <c r="M19" i="1"/>
  <c r="M35" i="1"/>
  <c r="M51" i="1"/>
  <c r="M68" i="1"/>
  <c r="M83" i="1"/>
  <c r="M99" i="1"/>
  <c r="M20" i="1"/>
  <c r="M52" i="1"/>
  <c r="M67" i="1"/>
  <c r="M84" i="1"/>
  <c r="M100" i="1"/>
  <c r="M24" i="1"/>
  <c r="M88" i="1"/>
  <c r="M8" i="1"/>
  <c r="N8" i="1" s="1"/>
  <c r="M56" i="1"/>
  <c r="M9" i="1"/>
  <c r="N9" i="1" s="1"/>
  <c r="M42" i="1"/>
  <c r="N42" i="1" s="1"/>
  <c r="M81" i="1"/>
  <c r="M50" i="1"/>
  <c r="M74" i="1"/>
  <c r="N74" i="1" s="1"/>
  <c r="M22" i="1"/>
  <c r="M37" i="1"/>
  <c r="M53" i="1"/>
  <c r="M70" i="1"/>
  <c r="M85" i="1"/>
  <c r="M101" i="1"/>
  <c r="M23" i="1"/>
  <c r="M54" i="1"/>
  <c r="M87" i="1"/>
  <c r="M40" i="1"/>
  <c r="M73" i="1"/>
  <c r="M25" i="1"/>
  <c r="M71" i="1"/>
  <c r="M57" i="1"/>
  <c r="M97" i="1"/>
  <c r="M82" i="1"/>
  <c r="M6" i="1"/>
  <c r="N6" i="1" s="1"/>
  <c r="M21" i="1"/>
  <c r="M38" i="1"/>
  <c r="M60" i="1"/>
  <c r="M69" i="1"/>
  <c r="M86" i="1"/>
  <c r="M103" i="1"/>
  <c r="M39" i="1"/>
  <c r="M72" i="1"/>
  <c r="M102" i="1"/>
  <c r="M55" i="1"/>
  <c r="M104" i="1"/>
  <c r="M41" i="1"/>
  <c r="M89" i="1"/>
  <c r="M26" i="1"/>
  <c r="M90" i="1"/>
  <c r="M49" i="1"/>
  <c r="M66" i="1"/>
  <c r="M11" i="1"/>
  <c r="N11" i="1" s="1"/>
  <c r="M27" i="1"/>
  <c r="M43" i="1"/>
  <c r="M58" i="1"/>
  <c r="M77" i="1"/>
  <c r="M91" i="1"/>
  <c r="M28" i="1"/>
  <c r="M44" i="1"/>
  <c r="M59" i="1"/>
  <c r="M78" i="1"/>
  <c r="M92" i="1"/>
  <c r="M13" i="1"/>
  <c r="N13" i="1" s="1"/>
  <c r="M29" i="1"/>
  <c r="M61" i="1"/>
  <c r="M79" i="1"/>
  <c r="M93" i="1"/>
  <c r="C6" i="2"/>
  <c r="M15" i="1"/>
  <c r="N15" i="1" s="1"/>
  <c r="C13" i="2"/>
  <c r="M96" i="1"/>
  <c r="N96" i="1" s="1"/>
  <c r="C5" i="2"/>
  <c r="M12" i="1"/>
  <c r="N12" i="1" s="1"/>
  <c r="C7" i="2"/>
  <c r="M36" i="1"/>
  <c r="N36" i="1" s="1"/>
  <c r="C11" i="2"/>
  <c r="M45" i="1"/>
  <c r="N45" i="1" s="1"/>
  <c r="C3" i="2"/>
  <c r="AP106" i="1"/>
  <c r="AP6" i="1"/>
  <c r="AC6" i="1" s="1"/>
  <c r="AD6" i="1" s="1"/>
  <c r="K7" i="19" s="1"/>
  <c r="AP7" i="1"/>
  <c r="AC7" i="1" s="1"/>
  <c r="AD7" i="1" s="1"/>
  <c r="K8" i="19" s="1"/>
  <c r="AP8" i="1"/>
  <c r="AC8" i="1" s="1"/>
  <c r="AD8" i="1" s="1"/>
  <c r="K9" i="19" s="1"/>
  <c r="AP12" i="1"/>
  <c r="AC12" i="1" s="1"/>
  <c r="AD12" i="1" s="1"/>
  <c r="K13" i="19" s="1"/>
  <c r="AP13" i="1"/>
  <c r="AC13" i="1" s="1"/>
  <c r="AD13" i="1" s="1"/>
  <c r="K14" i="19" s="1"/>
  <c r="AP14" i="1"/>
  <c r="AC14" i="1" s="1"/>
  <c r="AD14" i="1" s="1"/>
  <c r="K15" i="19" s="1"/>
  <c r="AP15" i="1"/>
  <c r="AP16" i="1"/>
  <c r="AC16" i="1" s="1"/>
  <c r="AD16" i="1" s="1"/>
  <c r="K17" i="19" s="1"/>
  <c r="AP17" i="1"/>
  <c r="AC17" i="1" s="1"/>
  <c r="AD17" i="1" s="1"/>
  <c r="K18" i="19" s="1"/>
  <c r="AP18" i="1"/>
  <c r="AC18" i="1" s="1"/>
  <c r="AD18" i="1" s="1"/>
  <c r="K19" i="19" s="1"/>
  <c r="AP19" i="1"/>
  <c r="AC19" i="1" s="1"/>
  <c r="AD19" i="1" s="1"/>
  <c r="K20" i="19" s="1"/>
  <c r="AP5" i="1"/>
  <c r="AC5" i="1" s="1"/>
  <c r="AD5" i="1" s="1"/>
  <c r="K21" i="19" s="1"/>
  <c r="AP20" i="1"/>
  <c r="AC20" i="1" s="1"/>
  <c r="AD20" i="1" s="1"/>
  <c r="K29" i="19" s="1"/>
  <c r="AP22" i="1"/>
  <c r="AC22" i="1" s="1"/>
  <c r="AD22" i="1" s="1"/>
  <c r="K30" i="19" s="1"/>
  <c r="AP23" i="1"/>
  <c r="AC23" i="1" s="1"/>
  <c r="AD23" i="1" s="1"/>
  <c r="AP24" i="1"/>
  <c r="AC24" i="1" s="1"/>
  <c r="AD24" i="1" s="1"/>
  <c r="AP25" i="1"/>
  <c r="AC25" i="1" s="1"/>
  <c r="AD25" i="1" s="1"/>
  <c r="K34" i="19" s="1"/>
  <c r="AP26" i="1"/>
  <c r="AC26" i="1" s="1"/>
  <c r="AD26" i="1" s="1"/>
  <c r="K35" i="19" s="1"/>
  <c r="AP27" i="1"/>
  <c r="AC27" i="1" s="1"/>
  <c r="AD27" i="1" s="1"/>
  <c r="K36" i="19" s="1"/>
  <c r="AP28" i="1"/>
  <c r="AC28" i="1" s="1"/>
  <c r="AD28" i="1" s="1"/>
  <c r="K37" i="19" s="1"/>
  <c r="AP105" i="1"/>
  <c r="AP29" i="1"/>
  <c r="AC29" i="1" s="1"/>
  <c r="AD29" i="1" s="1"/>
  <c r="K38" i="19" s="1"/>
  <c r="AP32" i="1"/>
  <c r="AC32" i="1" s="1"/>
  <c r="AD32" i="1" s="1"/>
  <c r="K41" i="19" s="1"/>
  <c r="AP33" i="1"/>
  <c r="AC33" i="1" s="1"/>
  <c r="AD33" i="1" s="1"/>
  <c r="K42" i="19" s="1"/>
  <c r="AP34" i="1"/>
  <c r="AC34" i="1" s="1"/>
  <c r="AD34" i="1" s="1"/>
  <c r="K43" i="19" s="1"/>
  <c r="AP35" i="1"/>
  <c r="AC35" i="1" s="1"/>
  <c r="AD35" i="1" s="1"/>
  <c r="K44" i="19" s="1"/>
  <c r="AP36" i="1"/>
  <c r="AP37" i="1"/>
  <c r="AC37" i="1" s="1"/>
  <c r="AD37" i="1" s="1"/>
  <c r="K46" i="19" s="1"/>
  <c r="AP38" i="1"/>
  <c r="AC38" i="1" s="1"/>
  <c r="AD38" i="1" s="1"/>
  <c r="K54" i="19" s="1"/>
  <c r="AP39" i="1"/>
  <c r="AC39" i="1" s="1"/>
  <c r="AD39" i="1" s="1"/>
  <c r="K55" i="19" s="1"/>
  <c r="AP40" i="1"/>
  <c r="AC40" i="1" s="1"/>
  <c r="AD40" i="1" s="1"/>
  <c r="K56" i="19" s="1"/>
  <c r="AP41" i="1"/>
  <c r="AC41" i="1" s="1"/>
  <c r="AD41" i="1" s="1"/>
  <c r="K57" i="19" s="1"/>
  <c r="AP42" i="1"/>
  <c r="AP43" i="1"/>
  <c r="AC43" i="1" s="1"/>
  <c r="AD43" i="1" s="1"/>
  <c r="K59" i="19" s="1"/>
  <c r="AP44" i="1"/>
  <c r="AC44" i="1" s="1"/>
  <c r="AD44" i="1" s="1"/>
  <c r="K60" i="19" s="1"/>
  <c r="AP45" i="1"/>
  <c r="AP46" i="1"/>
  <c r="AC46" i="1" s="1"/>
  <c r="AD46" i="1" s="1"/>
  <c r="K62" i="19" s="1"/>
  <c r="AP47" i="1"/>
  <c r="AC47" i="1" s="1"/>
  <c r="AD47" i="1" s="1"/>
  <c r="K63" i="19" s="1"/>
  <c r="AP49" i="1"/>
  <c r="AC49" i="1" s="1"/>
  <c r="AD49" i="1" s="1"/>
  <c r="K65" i="19" s="1"/>
  <c r="AP51" i="1"/>
  <c r="AC51" i="1" s="1"/>
  <c r="AD51" i="1" s="1"/>
  <c r="K73" i="19" s="1"/>
  <c r="AP48" i="1"/>
  <c r="AC48" i="1" s="1"/>
  <c r="AD48" i="1" s="1"/>
  <c r="K64" i="19" s="1"/>
  <c r="AP50" i="1"/>
  <c r="AC50" i="1" s="1"/>
  <c r="AD50" i="1" s="1"/>
  <c r="K81" i="19" s="1"/>
  <c r="AP52" i="1"/>
  <c r="AC52" i="1" s="1"/>
  <c r="AD52" i="1" s="1"/>
  <c r="K74" i="19" s="1"/>
  <c r="AP53" i="1"/>
  <c r="AC53" i="1" s="1"/>
  <c r="AD53" i="1" s="1"/>
  <c r="AP55" i="1"/>
  <c r="AC55" i="1" s="1"/>
  <c r="AD55" i="1" s="1"/>
  <c r="AP56" i="1"/>
  <c r="AC56" i="1" s="1"/>
  <c r="AD56" i="1" s="1"/>
  <c r="AP57" i="1"/>
  <c r="AC57" i="1" s="1"/>
  <c r="AD57" i="1" s="1"/>
  <c r="AP58" i="1"/>
  <c r="AC58" i="1" s="1"/>
  <c r="AD58" i="1" s="1"/>
  <c r="AP59" i="1"/>
  <c r="AC59" i="1" s="1"/>
  <c r="AD59" i="1" s="1"/>
  <c r="AP61" i="1"/>
  <c r="AC61" i="1" s="1"/>
  <c r="AD61" i="1" s="1"/>
  <c r="AP62" i="1"/>
  <c r="AC62" i="1" s="1"/>
  <c r="AD62" i="1" s="1"/>
  <c r="AP63" i="1"/>
  <c r="AC63" i="1" s="1"/>
  <c r="AD63" i="1" s="1"/>
  <c r="AP64" i="1"/>
  <c r="AC64" i="1" s="1"/>
  <c r="AD64" i="1" s="1"/>
  <c r="AP65" i="1"/>
  <c r="AC65" i="1" s="1"/>
  <c r="AD65" i="1" s="1"/>
  <c r="AP66" i="1"/>
  <c r="AC66" i="1" s="1"/>
  <c r="AD66" i="1" s="1"/>
  <c r="K96" i="19" s="1"/>
  <c r="AP68" i="1"/>
  <c r="AC68" i="1" s="1"/>
  <c r="AD68" i="1" s="1"/>
  <c r="K98" i="19" s="1"/>
  <c r="AP70" i="1"/>
  <c r="AC70" i="1" s="1"/>
  <c r="AD70" i="1" s="1"/>
  <c r="K100" i="19" s="1"/>
  <c r="AP72" i="1"/>
  <c r="AC72" i="1" s="1"/>
  <c r="AD72" i="1" s="1"/>
  <c r="K102" i="19" s="1"/>
  <c r="AP74" i="1"/>
  <c r="AP77" i="1"/>
  <c r="AC77" i="1" s="1"/>
  <c r="AD77" i="1" s="1"/>
  <c r="K107" i="19" s="1"/>
  <c r="AP78" i="1"/>
  <c r="AC78" i="1" s="1"/>
  <c r="AD78" i="1" s="1"/>
  <c r="K108" i="19" s="1"/>
  <c r="AP79" i="1"/>
  <c r="AC79" i="1" s="1"/>
  <c r="AD79" i="1" s="1"/>
  <c r="K109" i="19" s="1"/>
  <c r="AP80" i="1"/>
  <c r="AC80" i="1" s="1"/>
  <c r="AD80" i="1" s="1"/>
  <c r="K110" i="19" s="1"/>
  <c r="AP75" i="1"/>
  <c r="AC75" i="1" s="1"/>
  <c r="AD75" i="1" s="1"/>
  <c r="K105" i="19" s="1"/>
  <c r="AP81" i="1"/>
  <c r="AC81" i="1" s="1"/>
  <c r="AD81" i="1" s="1"/>
  <c r="K118" i="19" s="1"/>
  <c r="AP82" i="1"/>
  <c r="AC82" i="1" s="1"/>
  <c r="AD82" i="1" s="1"/>
  <c r="K119" i="19" s="1"/>
  <c r="AP83" i="1"/>
  <c r="AC83" i="1" s="1"/>
  <c r="AD83" i="1" s="1"/>
  <c r="K120" i="19" s="1"/>
  <c r="AP84" i="1"/>
  <c r="AC84" i="1" s="1"/>
  <c r="AD84" i="1" s="1"/>
  <c r="K121" i="19" s="1"/>
  <c r="AP85" i="1"/>
  <c r="AC85" i="1" s="1"/>
  <c r="AD85" i="1" s="1"/>
  <c r="K122" i="19" s="1"/>
  <c r="AP86" i="1"/>
  <c r="AC86" i="1" s="1"/>
  <c r="AD86" i="1" s="1"/>
  <c r="K123" i="19" s="1"/>
  <c r="AP87" i="1"/>
  <c r="AC87" i="1" s="1"/>
  <c r="AD87" i="1" s="1"/>
  <c r="K124" i="19" s="1"/>
  <c r="AP88" i="1"/>
  <c r="AC88" i="1" s="1"/>
  <c r="AD88" i="1" s="1"/>
  <c r="K125" i="19" s="1"/>
  <c r="AP89" i="1"/>
  <c r="AC89" i="1" s="1"/>
  <c r="AD89" i="1" s="1"/>
  <c r="K126" i="19" s="1"/>
  <c r="AP90" i="1"/>
  <c r="AC90" i="1" s="1"/>
  <c r="AD90" i="1" s="1"/>
  <c r="K127" i="19" s="1"/>
  <c r="AP91" i="1"/>
  <c r="AC91" i="1" s="1"/>
  <c r="AD91" i="1" s="1"/>
  <c r="K128" i="19" s="1"/>
  <c r="AP92" i="1"/>
  <c r="AC92" i="1" s="1"/>
  <c r="AD92" i="1" s="1"/>
  <c r="K129" i="19" s="1"/>
  <c r="AP93" i="1"/>
  <c r="AC93" i="1" s="1"/>
  <c r="AD93" i="1" s="1"/>
  <c r="K130" i="19" s="1"/>
  <c r="AP94" i="1"/>
  <c r="AC94" i="1" s="1"/>
  <c r="AD94" i="1" s="1"/>
  <c r="K131" i="19" s="1"/>
  <c r="AP95" i="1"/>
  <c r="AC95" i="1" s="1"/>
  <c r="AD95" i="1" s="1"/>
  <c r="K132" i="19" s="1"/>
  <c r="AP96" i="1"/>
  <c r="AP97" i="1"/>
  <c r="AC97" i="1" s="1"/>
  <c r="AD97" i="1" s="1"/>
  <c r="K134" i="19" s="1"/>
  <c r="AP98" i="1"/>
  <c r="AC98" i="1" s="1"/>
  <c r="AD98" i="1" s="1"/>
  <c r="K135" i="19" s="1"/>
  <c r="AP99" i="1"/>
  <c r="AC99" i="1" s="1"/>
  <c r="AD99" i="1" s="1"/>
  <c r="K136" i="19" s="1"/>
  <c r="AP100" i="1"/>
  <c r="AC100" i="1" s="1"/>
  <c r="AD100" i="1" s="1"/>
  <c r="K137" i="19" s="1"/>
  <c r="AP101" i="1"/>
  <c r="AC101" i="1" s="1"/>
  <c r="AD101" i="1" s="1"/>
  <c r="K138" i="19" s="1"/>
  <c r="K140" i="19" s="1"/>
  <c r="AP102" i="1"/>
  <c r="AC102" i="1" s="1"/>
  <c r="AD102" i="1" s="1"/>
  <c r="K147" i="19" s="1"/>
  <c r="AP104" i="1"/>
  <c r="AC104" i="1" s="1"/>
  <c r="AD104" i="1" s="1"/>
  <c r="K148" i="19" s="1"/>
  <c r="K151" i="19" s="1"/>
  <c r="AP4" i="1"/>
  <c r="K150" i="19" l="1"/>
  <c r="K114" i="19"/>
  <c r="K113" i="19"/>
  <c r="O10" i="1"/>
  <c r="N10" i="1"/>
  <c r="AC4" i="1"/>
  <c r="AD4" i="1" s="1"/>
  <c r="K6" i="19" s="1"/>
  <c r="K79" i="19"/>
  <c r="K78" i="19"/>
  <c r="K77" i="19"/>
  <c r="K76" i="19"/>
  <c r="K86" i="19"/>
  <c r="K75" i="19"/>
  <c r="K85" i="19"/>
  <c r="K80" i="19"/>
  <c r="K88" i="19"/>
  <c r="K87" i="19"/>
  <c r="K68" i="19"/>
  <c r="K69" i="19"/>
  <c r="K82" i="19"/>
  <c r="K23" i="19"/>
  <c r="K32" i="19"/>
  <c r="K33" i="19"/>
  <c r="O5" i="1"/>
  <c r="P5" i="1" s="1"/>
  <c r="R5" i="1" s="1"/>
  <c r="N4" i="1"/>
  <c r="O4" i="1"/>
  <c r="O82" i="1"/>
  <c r="N82" i="1"/>
  <c r="O68" i="1"/>
  <c r="N68" i="1"/>
  <c r="O76" i="1"/>
  <c r="N76" i="1"/>
  <c r="O89" i="1"/>
  <c r="N89" i="1"/>
  <c r="O97" i="1"/>
  <c r="N97" i="1"/>
  <c r="O50" i="1"/>
  <c r="N50" i="1"/>
  <c r="O51" i="1"/>
  <c r="N51" i="1"/>
  <c r="O63" i="1"/>
  <c r="N63" i="1"/>
  <c r="O57" i="1"/>
  <c r="N57" i="1"/>
  <c r="O81" i="1"/>
  <c r="N81" i="1"/>
  <c r="O35" i="1"/>
  <c r="N35" i="1"/>
  <c r="O47" i="1"/>
  <c r="N47" i="1"/>
  <c r="O31" i="1"/>
  <c r="N31" i="1"/>
  <c r="O41" i="1"/>
  <c r="N41" i="1"/>
  <c r="O25" i="1"/>
  <c r="N25" i="1"/>
  <c r="O18" i="1"/>
  <c r="N18" i="1"/>
  <c r="O94" i="1"/>
  <c r="N94" i="1"/>
  <c r="O90" i="1"/>
  <c r="N90" i="1"/>
  <c r="O102" i="1"/>
  <c r="N102" i="1"/>
  <c r="O73" i="1"/>
  <c r="N73" i="1"/>
  <c r="O56" i="1"/>
  <c r="N56" i="1"/>
  <c r="O17" i="1"/>
  <c r="N17" i="1"/>
  <c r="O80" i="1"/>
  <c r="N80" i="1"/>
  <c r="O29" i="1"/>
  <c r="N29" i="1"/>
  <c r="O92" i="1"/>
  <c r="N92" i="1"/>
  <c r="O28" i="1"/>
  <c r="N28" i="1"/>
  <c r="O72" i="1"/>
  <c r="N72" i="1"/>
  <c r="O40" i="1"/>
  <c r="N40" i="1"/>
  <c r="O98" i="1"/>
  <c r="N98" i="1"/>
  <c r="O62" i="1"/>
  <c r="N62" i="1"/>
  <c r="O78" i="1"/>
  <c r="N78" i="1"/>
  <c r="O91" i="1"/>
  <c r="N91" i="1"/>
  <c r="O39" i="1"/>
  <c r="N39" i="1"/>
  <c r="O87" i="1"/>
  <c r="N87" i="1"/>
  <c r="O88" i="1"/>
  <c r="N88" i="1"/>
  <c r="O34" i="1"/>
  <c r="N34" i="1"/>
  <c r="O46" i="1"/>
  <c r="N46" i="1"/>
  <c r="O55" i="1"/>
  <c r="N55" i="1"/>
  <c r="O77" i="1"/>
  <c r="N77" i="1"/>
  <c r="O54" i="1"/>
  <c r="N54" i="1"/>
  <c r="O24" i="1"/>
  <c r="N24" i="1"/>
  <c r="O65" i="1"/>
  <c r="N65" i="1"/>
  <c r="O30" i="1"/>
  <c r="N30" i="1"/>
  <c r="O95" i="1"/>
  <c r="N95" i="1"/>
  <c r="O104" i="1"/>
  <c r="N104" i="1"/>
  <c r="O58" i="1"/>
  <c r="N58" i="1"/>
  <c r="O103" i="1"/>
  <c r="N103" i="1"/>
  <c r="O23" i="1"/>
  <c r="N23" i="1"/>
  <c r="O100" i="1"/>
  <c r="N100" i="1"/>
  <c r="O33" i="1"/>
  <c r="N33" i="1"/>
  <c r="O26" i="1"/>
  <c r="N26" i="1"/>
  <c r="O59" i="1"/>
  <c r="N59" i="1"/>
  <c r="O43" i="1"/>
  <c r="N43" i="1"/>
  <c r="O86" i="1"/>
  <c r="N86" i="1"/>
  <c r="O101" i="1"/>
  <c r="N101" i="1"/>
  <c r="O84" i="1"/>
  <c r="N84" i="1"/>
  <c r="O75" i="1"/>
  <c r="N75" i="1"/>
  <c r="O83" i="1"/>
  <c r="N83" i="1"/>
  <c r="O27" i="1"/>
  <c r="N27" i="1"/>
  <c r="O69" i="1"/>
  <c r="N69" i="1"/>
  <c r="O85" i="1"/>
  <c r="N85" i="1"/>
  <c r="O67" i="1"/>
  <c r="N67" i="1"/>
  <c r="O64" i="1"/>
  <c r="N64" i="1"/>
  <c r="O71" i="1"/>
  <c r="N71" i="1"/>
  <c r="O93" i="1"/>
  <c r="N93" i="1"/>
  <c r="O60" i="1"/>
  <c r="N60" i="1"/>
  <c r="O70" i="1"/>
  <c r="N70" i="1"/>
  <c r="O52" i="1"/>
  <c r="N52" i="1"/>
  <c r="O48" i="1"/>
  <c r="N48" i="1"/>
  <c r="O44" i="1"/>
  <c r="N44" i="1"/>
  <c r="O79" i="1"/>
  <c r="N79" i="1"/>
  <c r="O66" i="1"/>
  <c r="N66" i="1"/>
  <c r="O38" i="1"/>
  <c r="N38" i="1"/>
  <c r="O53" i="1"/>
  <c r="N53" i="1"/>
  <c r="O20" i="1"/>
  <c r="N20" i="1"/>
  <c r="O32" i="1"/>
  <c r="N32" i="1"/>
  <c r="O22" i="1"/>
  <c r="N22" i="1"/>
  <c r="O19" i="1"/>
  <c r="N19" i="1"/>
  <c r="O61" i="1"/>
  <c r="N61" i="1"/>
  <c r="O49" i="1"/>
  <c r="N49" i="1"/>
  <c r="O21" i="1"/>
  <c r="N21" i="1"/>
  <c r="O37" i="1"/>
  <c r="N37" i="1"/>
  <c r="O99" i="1"/>
  <c r="N99" i="1"/>
  <c r="O13" i="1"/>
  <c r="R13" i="1" s="1"/>
  <c r="O12" i="1"/>
  <c r="P12" i="1" s="1"/>
  <c r="R12" i="1" s="1"/>
  <c r="O8" i="1"/>
  <c r="P8" i="1" s="1"/>
  <c r="R8" i="1" s="1"/>
  <c r="O14" i="1"/>
  <c r="P14" i="1" s="1"/>
  <c r="R14" i="1" s="1"/>
  <c r="O6" i="1"/>
  <c r="P6" i="1" s="1"/>
  <c r="R6" i="1" s="1"/>
  <c r="O7" i="1"/>
  <c r="O11" i="1"/>
  <c r="P11" i="1" s="1"/>
  <c r="R11" i="1" s="1"/>
  <c r="O9" i="1"/>
  <c r="O16" i="1"/>
  <c r="P16" i="1" s="1"/>
  <c r="R16" i="1" s="1"/>
  <c r="AC96" i="1"/>
  <c r="AD96" i="1" s="1"/>
  <c r="K133" i="19" s="1"/>
  <c r="K142" i="19" s="1"/>
  <c r="G6" i="18"/>
  <c r="O74" i="1"/>
  <c r="F7" i="18"/>
  <c r="O42" i="1"/>
  <c r="D7" i="18"/>
  <c r="O36" i="1"/>
  <c r="C7" i="18"/>
  <c r="AC42" i="1"/>
  <c r="AD42" i="1" s="1"/>
  <c r="K58" i="19" s="1"/>
  <c r="D6" i="18"/>
  <c r="O96" i="1"/>
  <c r="G7" i="18"/>
  <c r="AC74" i="1"/>
  <c r="AD74" i="1" s="1"/>
  <c r="K104" i="19" s="1"/>
  <c r="K112" i="19" s="1"/>
  <c r="F6" i="18"/>
  <c r="AC36" i="1"/>
  <c r="AD36" i="1" s="1"/>
  <c r="K45" i="19" s="1"/>
  <c r="C6" i="18"/>
  <c r="AC15" i="1"/>
  <c r="B6" i="18"/>
  <c r="O45" i="1"/>
  <c r="P45" i="1" s="1"/>
  <c r="E7" i="18"/>
  <c r="O15" i="1"/>
  <c r="B7" i="18"/>
  <c r="AC45" i="1"/>
  <c r="AD45" i="1" s="1"/>
  <c r="K61" i="19" s="1"/>
  <c r="E6" i="18"/>
  <c r="P10" i="1" l="1"/>
  <c r="R10" i="1" s="1"/>
  <c r="K92" i="19"/>
  <c r="K91" i="19"/>
  <c r="K90" i="19"/>
  <c r="P87" i="1"/>
  <c r="R87" i="1" s="1"/>
  <c r="P28" i="1"/>
  <c r="R28" i="1" s="1"/>
  <c r="P90" i="1"/>
  <c r="R90" i="1" s="1"/>
  <c r="K67" i="19"/>
  <c r="K50" i="19"/>
  <c r="F8" i="17"/>
  <c r="H14" i="17" s="1"/>
  <c r="AD15" i="1"/>
  <c r="K16" i="19" s="1"/>
  <c r="K25" i="19" s="1"/>
  <c r="P61" i="1"/>
  <c r="R61" i="1" s="1"/>
  <c r="P79" i="1"/>
  <c r="R79" i="1" s="1"/>
  <c r="P34" i="1"/>
  <c r="R34" i="1" s="1"/>
  <c r="P4" i="1"/>
  <c r="R4" i="1" s="1"/>
  <c r="P88" i="1"/>
  <c r="R88" i="1" s="1"/>
  <c r="P72" i="1"/>
  <c r="R72" i="1" s="1"/>
  <c r="P55" i="1"/>
  <c r="R55" i="1" s="1"/>
  <c r="P40" i="1"/>
  <c r="R40" i="1" s="1"/>
  <c r="P19" i="1"/>
  <c r="R19" i="1" s="1"/>
  <c r="P77" i="1"/>
  <c r="R77" i="1" s="1"/>
  <c r="P25" i="1"/>
  <c r="R25" i="1" s="1"/>
  <c r="P51" i="1"/>
  <c r="R51" i="1" s="1"/>
  <c r="P80" i="1"/>
  <c r="R80" i="1" s="1"/>
  <c r="P78" i="1"/>
  <c r="R78" i="1" s="1"/>
  <c r="P62" i="1"/>
  <c r="R62" i="1" s="1"/>
  <c r="P17" i="1"/>
  <c r="R17" i="1" s="1"/>
  <c r="P98" i="1"/>
  <c r="R98" i="1" s="1"/>
  <c r="P47" i="1"/>
  <c r="R47" i="1" s="1"/>
  <c r="P56" i="1"/>
  <c r="R56" i="1" s="1"/>
  <c r="P102" i="1"/>
  <c r="R102" i="1" s="1"/>
  <c r="P35" i="1"/>
  <c r="R35" i="1" s="1"/>
  <c r="P46" i="1"/>
  <c r="R46" i="1" s="1"/>
  <c r="P81" i="1"/>
  <c r="R81" i="1" s="1"/>
  <c r="P39" i="1"/>
  <c r="R39" i="1" s="1"/>
  <c r="P92" i="1"/>
  <c r="R92" i="1" s="1"/>
  <c r="P94" i="1"/>
  <c r="R94" i="1" s="1"/>
  <c r="P49" i="1"/>
  <c r="R49" i="1" s="1"/>
  <c r="P66" i="1"/>
  <c r="R66" i="1" s="1"/>
  <c r="P84" i="1"/>
  <c r="R84" i="1" s="1"/>
  <c r="P23" i="1"/>
  <c r="R23" i="1" s="1"/>
  <c r="P9" i="1"/>
  <c r="R9" i="1" s="1"/>
  <c r="P91" i="1"/>
  <c r="R91" i="1" s="1"/>
  <c r="P29" i="1"/>
  <c r="R29" i="1" s="1"/>
  <c r="P18" i="1"/>
  <c r="R18" i="1" s="1"/>
  <c r="P63" i="1"/>
  <c r="R63" i="1" s="1"/>
  <c r="P64" i="1"/>
  <c r="R64" i="1" s="1"/>
  <c r="P101" i="1"/>
  <c r="R101" i="1" s="1"/>
  <c r="P103" i="1"/>
  <c r="R103" i="1" s="1"/>
  <c r="P71" i="1"/>
  <c r="R71" i="1" s="1"/>
  <c r="P44" i="1"/>
  <c r="R44" i="1" s="1"/>
  <c r="P67" i="1"/>
  <c r="R67" i="1" s="1"/>
  <c r="P86" i="1"/>
  <c r="R86" i="1" s="1"/>
  <c r="P58" i="1"/>
  <c r="R58" i="1" s="1"/>
  <c r="P7" i="1"/>
  <c r="R7" i="1" s="1"/>
  <c r="P41" i="1"/>
  <c r="R41" i="1" s="1"/>
  <c r="P50" i="1"/>
  <c r="R50" i="1" s="1"/>
  <c r="P22" i="1"/>
  <c r="R22" i="1" s="1"/>
  <c r="P48" i="1"/>
  <c r="R48" i="1" s="1"/>
  <c r="P85" i="1"/>
  <c r="R85" i="1" s="1"/>
  <c r="P43" i="1"/>
  <c r="R43" i="1" s="1"/>
  <c r="P104" i="1"/>
  <c r="R104" i="1" s="1"/>
  <c r="P31" i="1"/>
  <c r="R31" i="1" s="1"/>
  <c r="P97" i="1"/>
  <c r="R97" i="1" s="1"/>
  <c r="P32" i="1"/>
  <c r="R32" i="1" s="1"/>
  <c r="P52" i="1"/>
  <c r="R52" i="1" s="1"/>
  <c r="P69" i="1"/>
  <c r="R69" i="1" s="1"/>
  <c r="P59" i="1"/>
  <c r="R59" i="1" s="1"/>
  <c r="P95" i="1"/>
  <c r="R95" i="1" s="1"/>
  <c r="C9" i="18"/>
  <c r="P36" i="1"/>
  <c r="R36" i="1" s="1"/>
  <c r="P73" i="1"/>
  <c r="R73" i="1" s="1"/>
  <c r="P89" i="1"/>
  <c r="R89" i="1" s="1"/>
  <c r="P99" i="1"/>
  <c r="R99" i="1" s="1"/>
  <c r="P20" i="1"/>
  <c r="R20" i="1" s="1"/>
  <c r="P70" i="1"/>
  <c r="R70" i="1" s="1"/>
  <c r="P27" i="1"/>
  <c r="R27" i="1" s="1"/>
  <c r="P26" i="1"/>
  <c r="R26" i="1" s="1"/>
  <c r="P30" i="1"/>
  <c r="R30" i="1" s="1"/>
  <c r="P54" i="1"/>
  <c r="R54" i="1" s="1"/>
  <c r="D9" i="18"/>
  <c r="P42" i="1"/>
  <c r="R42" i="1" s="1"/>
  <c r="P76" i="1"/>
  <c r="R76" i="1" s="1"/>
  <c r="B9" i="18"/>
  <c r="P15" i="1"/>
  <c r="P37" i="1"/>
  <c r="R37" i="1" s="1"/>
  <c r="P53" i="1"/>
  <c r="R53" i="1" s="1"/>
  <c r="P60" i="1"/>
  <c r="R60" i="1" s="1"/>
  <c r="P83" i="1"/>
  <c r="R83" i="1" s="1"/>
  <c r="P33" i="1"/>
  <c r="R33" i="1" s="1"/>
  <c r="P65" i="1"/>
  <c r="R65" i="1" s="1"/>
  <c r="F9" i="18"/>
  <c r="P74" i="1"/>
  <c r="R74" i="1" s="1"/>
  <c r="P68" i="1"/>
  <c r="R68" i="1" s="1"/>
  <c r="P21" i="1"/>
  <c r="R21" i="1" s="1"/>
  <c r="P38" i="1"/>
  <c r="R38" i="1" s="1"/>
  <c r="P93" i="1"/>
  <c r="R93" i="1" s="1"/>
  <c r="P75" i="1"/>
  <c r="R75" i="1" s="1"/>
  <c r="P100" i="1"/>
  <c r="R100" i="1" s="1"/>
  <c r="P24" i="1"/>
  <c r="R24" i="1" s="1"/>
  <c r="G9" i="18"/>
  <c r="P96" i="1"/>
  <c r="P57" i="1"/>
  <c r="R57" i="1" s="1"/>
  <c r="P82" i="1"/>
  <c r="R82" i="1" s="1"/>
  <c r="E9" i="18"/>
  <c r="C4" i="18" l="1"/>
  <c r="C13" i="18" s="1"/>
  <c r="P105" i="1"/>
  <c r="F4" i="18"/>
  <c r="F13" i="18" s="1"/>
  <c r="R15" i="1"/>
  <c r="B4" i="18"/>
  <c r="B13" i="18" s="1"/>
  <c r="D4" i="18"/>
  <c r="D13" i="18" s="1"/>
  <c r="D5" i="17"/>
  <c r="R96" i="1"/>
  <c r="G4" i="18"/>
  <c r="G13" i="18" s="1"/>
  <c r="E4" i="18"/>
  <c r="E13" i="18" s="1"/>
  <c r="R45" i="1"/>
  <c r="G14" i="18" l="1"/>
  <c r="S10" i="1" s="1"/>
  <c r="S8" i="1" l="1"/>
  <c r="F11" i="19"/>
  <c r="P106" i="1"/>
  <c r="S11" i="1"/>
  <c r="S34" i="1"/>
  <c r="S97" i="1"/>
  <c r="S76" i="1"/>
  <c r="F106" i="19" s="1"/>
  <c r="S7" i="1"/>
  <c r="S74" i="1"/>
  <c r="F104" i="19" s="1"/>
  <c r="S89" i="1"/>
  <c r="S33" i="1"/>
  <c r="S96" i="1"/>
  <c r="S92" i="1"/>
  <c r="S43" i="1"/>
  <c r="S61" i="1"/>
  <c r="S56" i="1"/>
  <c r="F76" i="19" s="1"/>
  <c r="S73" i="1"/>
  <c r="F103" i="19" s="1"/>
  <c r="S65" i="1"/>
  <c r="F80" i="19" s="1"/>
  <c r="S55" i="1"/>
  <c r="F75" i="19" s="1"/>
  <c r="S48" i="1"/>
  <c r="S39" i="1"/>
  <c r="S32" i="1"/>
  <c r="S16" i="1"/>
  <c r="S101" i="1"/>
  <c r="S85" i="1"/>
  <c r="S28" i="1"/>
  <c r="S69" i="1"/>
  <c r="F99" i="19" s="1"/>
  <c r="S70" i="1"/>
  <c r="F100" i="19" s="1"/>
  <c r="S36" i="1"/>
  <c r="S50" i="1"/>
  <c r="F81" i="19" s="1"/>
  <c r="S62" i="1"/>
  <c r="F86" i="19" s="1"/>
  <c r="S12" i="1"/>
  <c r="S71" i="1"/>
  <c r="F101" i="19" s="1"/>
  <c r="S45" i="1"/>
  <c r="S80" i="1"/>
  <c r="F110" i="19" s="1"/>
  <c r="S47" i="1"/>
  <c r="S6" i="1"/>
  <c r="S44" i="1"/>
  <c r="S60" i="1"/>
  <c r="S46" i="1"/>
  <c r="S57" i="1"/>
  <c r="F77" i="19" s="1"/>
  <c r="S25" i="1"/>
  <c r="S29" i="1"/>
  <c r="S63" i="1"/>
  <c r="F87" i="19" s="1"/>
  <c r="S100" i="1"/>
  <c r="S31" i="1"/>
  <c r="S67" i="1"/>
  <c r="F97" i="19" s="1"/>
  <c r="S52" i="1"/>
  <c r="S53" i="1"/>
  <c r="S38" i="1"/>
  <c r="S30" i="1"/>
  <c r="S21" i="1"/>
  <c r="S66" i="1"/>
  <c r="F96" i="19" s="1"/>
  <c r="S15" i="1"/>
  <c r="S14" i="1"/>
  <c r="S26" i="1"/>
  <c r="S13" i="1"/>
  <c r="S41" i="1"/>
  <c r="S104" i="1"/>
  <c r="S40" i="1"/>
  <c r="S87" i="1"/>
  <c r="S72" i="1"/>
  <c r="F102" i="19" s="1"/>
  <c r="S54" i="1"/>
  <c r="F83" i="19" s="1"/>
  <c r="S102" i="1"/>
  <c r="S59" i="1"/>
  <c r="F79" i="19" s="1"/>
  <c r="S103" i="1"/>
  <c r="S86" i="1"/>
  <c r="S79" i="1"/>
  <c r="F109" i="19" s="1"/>
  <c r="S20" i="1"/>
  <c r="F29" i="19" s="1"/>
  <c r="S68" i="1"/>
  <c r="F98" i="19" s="1"/>
  <c r="S99" i="1"/>
  <c r="S51" i="1"/>
  <c r="S82" i="1"/>
  <c r="S18" i="1"/>
  <c r="S88" i="1"/>
  <c r="S4" i="1"/>
  <c r="F6" i="19" s="1"/>
  <c r="S24" i="1"/>
  <c r="W24" i="1" s="1"/>
  <c r="S77" i="1"/>
  <c r="F107" i="19" s="1"/>
  <c r="S23" i="1"/>
  <c r="S84" i="1"/>
  <c r="S94" i="1"/>
  <c r="S19" i="1"/>
  <c r="S49" i="1"/>
  <c r="S37" i="1"/>
  <c r="S95" i="1"/>
  <c r="S42" i="1"/>
  <c r="S22" i="1"/>
  <c r="S5" i="1"/>
  <c r="S58" i="1"/>
  <c r="F78" i="19" s="1"/>
  <c r="S81" i="1"/>
  <c r="S9" i="1"/>
  <c r="S75" i="1"/>
  <c r="F105" i="19" s="1"/>
  <c r="S91" i="1"/>
  <c r="S90" i="1"/>
  <c r="S98" i="1"/>
  <c r="S83" i="1"/>
  <c r="S93" i="1"/>
  <c r="S27" i="1"/>
  <c r="S35" i="1"/>
  <c r="S64" i="1"/>
  <c r="S17" i="1"/>
  <c r="S78" i="1"/>
  <c r="F108" i="19" s="1"/>
  <c r="B14" i="17"/>
  <c r="C14" i="17" s="1"/>
  <c r="F113" i="19" l="1"/>
  <c r="F114" i="19"/>
  <c r="F112" i="19"/>
  <c r="T10" i="1"/>
  <c r="W10" i="1"/>
  <c r="W61" i="1"/>
  <c r="F85" i="19"/>
  <c r="F88" i="19"/>
  <c r="W92" i="1"/>
  <c r="F129" i="19"/>
  <c r="W93" i="1"/>
  <c r="F130" i="19"/>
  <c r="T96" i="1"/>
  <c r="V96" i="1" s="1"/>
  <c r="F133" i="19"/>
  <c r="W94" i="1"/>
  <c r="F131" i="19"/>
  <c r="W84" i="1"/>
  <c r="F121" i="19"/>
  <c r="T98" i="1"/>
  <c r="V98" i="1" s="1"/>
  <c r="F135" i="19"/>
  <c r="T82" i="1"/>
  <c r="V82" i="1" s="1"/>
  <c r="F119" i="19"/>
  <c r="W89" i="1"/>
  <c r="F126" i="19"/>
  <c r="W102" i="1"/>
  <c r="F147" i="19"/>
  <c r="T90" i="1"/>
  <c r="V90" i="1" s="1"/>
  <c r="F127" i="19"/>
  <c r="T100" i="1"/>
  <c r="V100" i="1" s="1"/>
  <c r="F137" i="19"/>
  <c r="T88" i="1"/>
  <c r="V88" i="1" s="1"/>
  <c r="F125" i="19"/>
  <c r="W101" i="1"/>
  <c r="F138" i="19"/>
  <c r="F140" i="19" s="1"/>
  <c r="T83" i="1"/>
  <c r="V83" i="1" s="1"/>
  <c r="F120" i="19"/>
  <c r="T77" i="1"/>
  <c r="V77" i="1" s="1"/>
  <c r="W97" i="1"/>
  <c r="F134" i="19"/>
  <c r="W104" i="1"/>
  <c r="F148" i="19"/>
  <c r="W85" i="1"/>
  <c r="F122" i="19"/>
  <c r="T99" i="1"/>
  <c r="V99" i="1" s="1"/>
  <c r="F136" i="19"/>
  <c r="T79" i="1"/>
  <c r="V79" i="1" s="1"/>
  <c r="W54" i="1"/>
  <c r="T91" i="1"/>
  <c r="V91" i="1" s="1"/>
  <c r="F128" i="19"/>
  <c r="T95" i="1"/>
  <c r="V95" i="1" s="1"/>
  <c r="F132" i="19"/>
  <c r="W86" i="1"/>
  <c r="F123" i="19"/>
  <c r="T80" i="1"/>
  <c r="V80" i="1" s="1"/>
  <c r="W87" i="1"/>
  <c r="F124" i="19"/>
  <c r="T81" i="1"/>
  <c r="V81" i="1" s="1"/>
  <c r="F118" i="19"/>
  <c r="W78" i="1"/>
  <c r="W103" i="1"/>
  <c r="F146" i="19"/>
  <c r="T73" i="1"/>
  <c r="V73" i="1" s="1"/>
  <c r="W56" i="1"/>
  <c r="W62" i="1"/>
  <c r="W72" i="1"/>
  <c r="W63" i="1"/>
  <c r="T59" i="1"/>
  <c r="V59" i="1" s="1"/>
  <c r="T58" i="1"/>
  <c r="V58" i="1" s="1"/>
  <c r="W51" i="1"/>
  <c r="F73" i="19"/>
  <c r="W74" i="1"/>
  <c r="T53" i="1"/>
  <c r="V53" i="1" s="1"/>
  <c r="F82" i="19"/>
  <c r="W68" i="1"/>
  <c r="W76" i="1"/>
  <c r="W71" i="1"/>
  <c r="W57" i="1"/>
  <c r="T67" i="1"/>
  <c r="T55" i="1"/>
  <c r="V55" i="1" s="1"/>
  <c r="T52" i="1"/>
  <c r="V52" i="1" s="1"/>
  <c r="F74" i="19"/>
  <c r="W75" i="1"/>
  <c r="T70" i="1"/>
  <c r="V70" i="1" s="1"/>
  <c r="W69" i="1"/>
  <c r="T66" i="1"/>
  <c r="V66" i="1" s="1"/>
  <c r="T64" i="1"/>
  <c r="V64" i="1" s="1"/>
  <c r="W65" i="1"/>
  <c r="T50" i="1"/>
  <c r="V50" i="1" s="1"/>
  <c r="T60" i="1"/>
  <c r="V60" i="1" s="1"/>
  <c r="F84" i="19"/>
  <c r="W43" i="1"/>
  <c r="F59" i="19"/>
  <c r="W46" i="1"/>
  <c r="F62" i="19"/>
  <c r="W41" i="1"/>
  <c r="F57" i="19"/>
  <c r="T44" i="1"/>
  <c r="V44" i="1" s="1"/>
  <c r="F60" i="19"/>
  <c r="W40" i="1"/>
  <c r="F56" i="19"/>
  <c r="W39" i="1"/>
  <c r="F55" i="19"/>
  <c r="T47" i="1"/>
  <c r="V47" i="1" s="1"/>
  <c r="F63" i="19"/>
  <c r="W48" i="1"/>
  <c r="F64" i="19"/>
  <c r="W42" i="1"/>
  <c r="F58" i="19"/>
  <c r="T49" i="1"/>
  <c r="V49" i="1" s="1"/>
  <c r="F65" i="19"/>
  <c r="W38" i="1"/>
  <c r="F54" i="19"/>
  <c r="W45" i="1"/>
  <c r="F61" i="19"/>
  <c r="W36" i="1"/>
  <c r="F45" i="19"/>
  <c r="T25" i="1"/>
  <c r="V25" i="1" s="1"/>
  <c r="F34" i="19"/>
  <c r="W28" i="1"/>
  <c r="F37" i="19"/>
  <c r="T33" i="1"/>
  <c r="V33" i="1" s="1"/>
  <c r="F42" i="19"/>
  <c r="W23" i="1"/>
  <c r="F32" i="19"/>
  <c r="F33" i="19"/>
  <c r="W29" i="1"/>
  <c r="F38" i="19"/>
  <c r="T26" i="1"/>
  <c r="V26" i="1" s="1"/>
  <c r="F35" i="19"/>
  <c r="T32" i="1"/>
  <c r="V32" i="1" s="1"/>
  <c r="F41" i="19"/>
  <c r="W22" i="1"/>
  <c r="F30" i="19"/>
  <c r="T20" i="1"/>
  <c r="V20" i="1" s="1"/>
  <c r="W37" i="1"/>
  <c r="F46" i="19"/>
  <c r="T21" i="1"/>
  <c r="V21" i="1" s="1"/>
  <c r="F31" i="19"/>
  <c r="F48" i="19" s="1"/>
  <c r="W34" i="1"/>
  <c r="F43" i="19"/>
  <c r="W31" i="1"/>
  <c r="F40" i="19"/>
  <c r="W35" i="1"/>
  <c r="F44" i="19"/>
  <c r="T30" i="1"/>
  <c r="V30" i="1" s="1"/>
  <c r="F39" i="19"/>
  <c r="W27" i="1"/>
  <c r="F36" i="19"/>
  <c r="W12" i="1"/>
  <c r="F13" i="19"/>
  <c r="T8" i="1"/>
  <c r="V8" i="1" s="1"/>
  <c r="F9" i="19"/>
  <c r="W13" i="1"/>
  <c r="F14" i="19"/>
  <c r="T9" i="1"/>
  <c r="V9" i="1" s="1"/>
  <c r="F10" i="19"/>
  <c r="W5" i="1"/>
  <c r="F21" i="19"/>
  <c r="W14" i="1"/>
  <c r="F15" i="19"/>
  <c r="W16" i="1"/>
  <c r="F17" i="19"/>
  <c r="T7" i="1"/>
  <c r="V7" i="1" s="1"/>
  <c r="F8" i="19"/>
  <c r="T18" i="1"/>
  <c r="V18" i="1" s="1"/>
  <c r="F19" i="19"/>
  <c r="W15" i="1"/>
  <c r="F16" i="19"/>
  <c r="T17" i="1"/>
  <c r="V17" i="1" s="1"/>
  <c r="F18" i="19"/>
  <c r="W6" i="1"/>
  <c r="F7" i="19"/>
  <c r="W11" i="1"/>
  <c r="F12" i="19"/>
  <c r="T19" i="1"/>
  <c r="V19" i="1" s="1"/>
  <c r="F20" i="19"/>
  <c r="T4" i="1"/>
  <c r="V4" i="1" s="1"/>
  <c r="W4" i="1"/>
  <c r="T97" i="1"/>
  <c r="W7" i="1"/>
  <c r="T11" i="1"/>
  <c r="V11" i="1" s="1"/>
  <c r="T89" i="1"/>
  <c r="V89" i="1" s="1"/>
  <c r="W66" i="1"/>
  <c r="T39" i="1"/>
  <c r="W20" i="1"/>
  <c r="T85" i="1"/>
  <c r="V85" i="1" s="1"/>
  <c r="W32" i="1"/>
  <c r="W44" i="1"/>
  <c r="T76" i="1"/>
  <c r="V76" i="1" s="1"/>
  <c r="W17" i="1"/>
  <c r="W95" i="1"/>
  <c r="T22" i="1"/>
  <c r="V22" i="1" s="1"/>
  <c r="W33" i="1"/>
  <c r="T35" i="1"/>
  <c r="V35" i="1" s="1"/>
  <c r="W26" i="1"/>
  <c r="T51" i="1"/>
  <c r="V51" i="1" s="1"/>
  <c r="W25" i="1"/>
  <c r="T6" i="1"/>
  <c r="W30" i="1"/>
  <c r="T34" i="1"/>
  <c r="V34" i="1" s="1"/>
  <c r="T48" i="1"/>
  <c r="T14" i="1"/>
  <c r="W49" i="1"/>
  <c r="T46" i="1"/>
  <c r="V46" i="1" s="1"/>
  <c r="W96" i="1"/>
  <c r="W79" i="1"/>
  <c r="T42" i="1"/>
  <c r="T15" i="1"/>
  <c r="W64" i="1"/>
  <c r="W21" i="1"/>
  <c r="W58" i="1"/>
  <c r="T57" i="1"/>
  <c r="T104" i="1"/>
  <c r="T41" i="1"/>
  <c r="V41" i="1" s="1"/>
  <c r="W81" i="1"/>
  <c r="T24" i="1"/>
  <c r="V24" i="1" s="1"/>
  <c r="T74" i="1"/>
  <c r="V74" i="1" s="1"/>
  <c r="T27" i="1"/>
  <c r="W60" i="1"/>
  <c r="T101" i="1"/>
  <c r="V101" i="1" s="1"/>
  <c r="T13" i="1"/>
  <c r="V13" i="1" s="1"/>
  <c r="T37" i="1"/>
  <c r="T68" i="1"/>
  <c r="V68" i="1" s="1"/>
  <c r="T36" i="1"/>
  <c r="V36" i="1" s="1"/>
  <c r="T63" i="1"/>
  <c r="T5" i="1"/>
  <c r="T78" i="1"/>
  <c r="V78" i="1" s="1"/>
  <c r="T62" i="1"/>
  <c r="V62" i="1" s="1"/>
  <c r="T31" i="1"/>
  <c r="V31" i="1" s="1"/>
  <c r="W88" i="1"/>
  <c r="T84" i="1"/>
  <c r="T86" i="1"/>
  <c r="V86" i="1" s="1"/>
  <c r="T92" i="1"/>
  <c r="W47" i="1"/>
  <c r="W82" i="1"/>
  <c r="W99" i="1"/>
  <c r="W53" i="1"/>
  <c r="W90" i="1"/>
  <c r="T94" i="1"/>
  <c r="T87" i="1"/>
  <c r="V87" i="1" s="1"/>
  <c r="W59" i="1"/>
  <c r="T40" i="1"/>
  <c r="V40" i="1" s="1"/>
  <c r="W50" i="1"/>
  <c r="W91" i="1"/>
  <c r="W18" i="1"/>
  <c r="T43" i="1"/>
  <c r="T69" i="1"/>
  <c r="V69" i="1" s="1"/>
  <c r="T28" i="1"/>
  <c r="V28" i="1" s="1"/>
  <c r="W77" i="1"/>
  <c r="T29" i="1"/>
  <c r="V29" i="1" s="1"/>
  <c r="W70" i="1"/>
  <c r="T65" i="1"/>
  <c r="V65" i="1" s="1"/>
  <c r="W9" i="1"/>
  <c r="T103" i="1"/>
  <c r="T56" i="1"/>
  <c r="V56" i="1" s="1"/>
  <c r="T54" i="1"/>
  <c r="V54" i="1" s="1"/>
  <c r="W19" i="1"/>
  <c r="W80" i="1"/>
  <c r="W83" i="1"/>
  <c r="T16" i="1"/>
  <c r="V16" i="1" s="1"/>
  <c r="T45" i="1"/>
  <c r="V45" i="1" s="1"/>
  <c r="W8" i="1"/>
  <c r="W73" i="1"/>
  <c r="W67" i="1"/>
  <c r="T23" i="1"/>
  <c r="V23" i="1" s="1"/>
  <c r="T102" i="1"/>
  <c r="V102" i="1" s="1"/>
  <c r="W55" i="1"/>
  <c r="T72" i="1"/>
  <c r="V72" i="1" s="1"/>
  <c r="W98" i="1"/>
  <c r="T93" i="1"/>
  <c r="V93" i="1" s="1"/>
  <c r="T12" i="1"/>
  <c r="V12" i="1" s="1"/>
  <c r="T75" i="1"/>
  <c r="V75" i="1" s="1"/>
  <c r="W100" i="1"/>
  <c r="T71" i="1"/>
  <c r="T61" i="1"/>
  <c r="V61" i="1" s="1"/>
  <c r="T38" i="1"/>
  <c r="W52" i="1"/>
  <c r="Y9" i="1"/>
  <c r="Y7" i="1"/>
  <c r="F90" i="19" l="1"/>
  <c r="U88" i="1"/>
  <c r="Z88" i="1" s="1"/>
  <c r="AF88" i="1" s="1"/>
  <c r="U10" i="1"/>
  <c r="V10" i="1"/>
  <c r="U82" i="1"/>
  <c r="Z82" i="1" s="1"/>
  <c r="U96" i="1"/>
  <c r="Z96" i="1" s="1"/>
  <c r="AF96" i="1" s="1"/>
  <c r="U90" i="1"/>
  <c r="Z90" i="1" s="1"/>
  <c r="U98" i="1"/>
  <c r="Z98" i="1" s="1"/>
  <c r="U66" i="1"/>
  <c r="Z66" i="1" s="1"/>
  <c r="AG66" i="1" s="1"/>
  <c r="U44" i="1"/>
  <c r="Z44" i="1" s="1"/>
  <c r="AA44" i="1" s="1"/>
  <c r="U99" i="1"/>
  <c r="Z99" i="1" s="1"/>
  <c r="U47" i="1"/>
  <c r="Z47" i="1" s="1"/>
  <c r="AF47" i="1" s="1"/>
  <c r="U80" i="1"/>
  <c r="Z80" i="1" s="1"/>
  <c r="AA80" i="1" s="1"/>
  <c r="U50" i="1"/>
  <c r="Z50" i="1" s="1"/>
  <c r="U25" i="1"/>
  <c r="Z25" i="1" s="1"/>
  <c r="AE25" i="1" s="1"/>
  <c r="U100" i="1"/>
  <c r="Z100" i="1" s="1"/>
  <c r="V67" i="1"/>
  <c r="U67" i="1"/>
  <c r="U8" i="1"/>
  <c r="Z8" i="1" s="1"/>
  <c r="AE8" i="1" s="1"/>
  <c r="U55" i="1"/>
  <c r="Z55" i="1" s="1"/>
  <c r="AA55" i="1" s="1"/>
  <c r="U21" i="1"/>
  <c r="Z21" i="1" s="1"/>
  <c r="AG21" i="1" s="1"/>
  <c r="U53" i="1"/>
  <c r="Z53" i="1" s="1"/>
  <c r="AA53" i="1" s="1"/>
  <c r="U81" i="1"/>
  <c r="Z81" i="1" s="1"/>
  <c r="U59" i="1"/>
  <c r="Z59" i="1" s="1"/>
  <c r="U79" i="1"/>
  <c r="Z79" i="1" s="1"/>
  <c r="F91" i="19"/>
  <c r="U9" i="1"/>
  <c r="Z9" i="1" s="1"/>
  <c r="U77" i="1"/>
  <c r="Z77" i="1" s="1"/>
  <c r="AF77" i="1" s="1"/>
  <c r="U83" i="1"/>
  <c r="Z83" i="1" s="1"/>
  <c r="AE83" i="1" s="1"/>
  <c r="U91" i="1"/>
  <c r="Z91" i="1" s="1"/>
  <c r="AA91" i="1" s="1"/>
  <c r="U49" i="1"/>
  <c r="Z49" i="1" s="1"/>
  <c r="U70" i="1"/>
  <c r="Z70" i="1" s="1"/>
  <c r="AA70" i="1" s="1"/>
  <c r="U95" i="1"/>
  <c r="Z95" i="1" s="1"/>
  <c r="AF95" i="1" s="1"/>
  <c r="U60" i="1"/>
  <c r="Z60" i="1" s="1"/>
  <c r="F152" i="19"/>
  <c r="F142" i="19"/>
  <c r="F151" i="19"/>
  <c r="U52" i="1"/>
  <c r="Z52" i="1" s="1"/>
  <c r="F150" i="19"/>
  <c r="U73" i="1"/>
  <c r="Z73" i="1" s="1"/>
  <c r="F68" i="19"/>
  <c r="F92" i="19"/>
  <c r="F67" i="19"/>
  <c r="F50" i="19"/>
  <c r="F69" i="19"/>
  <c r="F23" i="19"/>
  <c r="U64" i="1"/>
  <c r="Z64" i="1" s="1"/>
  <c r="AF64" i="1" s="1"/>
  <c r="U58" i="1"/>
  <c r="Z58" i="1" s="1"/>
  <c r="U20" i="1"/>
  <c r="Z20" i="1" s="1"/>
  <c r="AG20" i="1" s="1"/>
  <c r="U18" i="1"/>
  <c r="Z18" i="1" s="1"/>
  <c r="AF18" i="1" s="1"/>
  <c r="U33" i="1"/>
  <c r="Z33" i="1" s="1"/>
  <c r="U11" i="1"/>
  <c r="Z11" i="1" s="1"/>
  <c r="U89" i="1"/>
  <c r="Z89" i="1" s="1"/>
  <c r="AA89" i="1" s="1"/>
  <c r="U26" i="1"/>
  <c r="Z26" i="1" s="1"/>
  <c r="AE26" i="1" s="1"/>
  <c r="U4" i="1"/>
  <c r="Z4" i="1" s="1"/>
  <c r="U32" i="1"/>
  <c r="Z32" i="1" s="1"/>
  <c r="AF32" i="1" s="1"/>
  <c r="U19" i="1"/>
  <c r="Z19" i="1" s="1"/>
  <c r="U30" i="1"/>
  <c r="Z30" i="1" s="1"/>
  <c r="AG30" i="1" s="1"/>
  <c r="U17" i="1"/>
  <c r="Z17" i="1" s="1"/>
  <c r="F25" i="19"/>
  <c r="U7" i="1"/>
  <c r="Z7" i="1" s="1"/>
  <c r="AF7" i="1" s="1"/>
  <c r="U94" i="1"/>
  <c r="V94" i="1"/>
  <c r="U92" i="1"/>
  <c r="V92" i="1"/>
  <c r="U48" i="1"/>
  <c r="V48" i="1"/>
  <c r="U27" i="1"/>
  <c r="V27" i="1"/>
  <c r="U39" i="1"/>
  <c r="V39" i="1"/>
  <c r="U37" i="1"/>
  <c r="V37" i="1"/>
  <c r="U84" i="1"/>
  <c r="V84" i="1"/>
  <c r="U43" i="1"/>
  <c r="V43" i="1"/>
  <c r="U6" i="1"/>
  <c r="V6" i="1"/>
  <c r="U104" i="1"/>
  <c r="V104" i="1"/>
  <c r="U103" i="1"/>
  <c r="V103" i="1"/>
  <c r="Y14" i="1"/>
  <c r="V14" i="1"/>
  <c r="U57" i="1"/>
  <c r="V57" i="1"/>
  <c r="U97" i="1"/>
  <c r="V97" i="1"/>
  <c r="U71" i="1"/>
  <c r="V71" i="1"/>
  <c r="U5" i="1"/>
  <c r="V5" i="1"/>
  <c r="U42" i="1"/>
  <c r="V42" i="1"/>
  <c r="U63" i="1"/>
  <c r="V63" i="1"/>
  <c r="U38" i="1"/>
  <c r="V38" i="1"/>
  <c r="U85" i="1"/>
  <c r="Z85" i="1" s="1"/>
  <c r="AF85" i="1" s="1"/>
  <c r="U15" i="1"/>
  <c r="V15" i="1"/>
  <c r="U51" i="1"/>
  <c r="Z51" i="1" s="1"/>
  <c r="U35" i="1"/>
  <c r="Z35" i="1" s="1"/>
  <c r="AG35" i="1" s="1"/>
  <c r="U34" i="1"/>
  <c r="Z34" i="1" s="1"/>
  <c r="U76" i="1"/>
  <c r="Z76" i="1" s="1"/>
  <c r="U41" i="1"/>
  <c r="Z41" i="1" s="1"/>
  <c r="AA41" i="1" s="1"/>
  <c r="U46" i="1"/>
  <c r="Z46" i="1" s="1"/>
  <c r="AA46" i="1" s="1"/>
  <c r="U22" i="1"/>
  <c r="Z22" i="1" s="1"/>
  <c r="AG22" i="1" s="1"/>
  <c r="U13" i="1"/>
  <c r="Z13" i="1" s="1"/>
  <c r="U14" i="1"/>
  <c r="U69" i="1"/>
  <c r="Z69" i="1" s="1"/>
  <c r="U74" i="1"/>
  <c r="Z74" i="1" s="1"/>
  <c r="AA74" i="1" s="1"/>
  <c r="U68" i="1"/>
  <c r="Z68" i="1" s="1"/>
  <c r="AG68" i="1" s="1"/>
  <c r="U101" i="1"/>
  <c r="Z101" i="1" s="1"/>
  <c r="AE101" i="1" s="1"/>
  <c r="U36" i="1"/>
  <c r="Z36" i="1" s="1"/>
  <c r="AF36" i="1" s="1"/>
  <c r="U24" i="1"/>
  <c r="Z24" i="1" s="1"/>
  <c r="AA24" i="1" s="1"/>
  <c r="U56" i="1"/>
  <c r="Z56" i="1" s="1"/>
  <c r="AA56" i="1" s="1"/>
  <c r="U78" i="1"/>
  <c r="Z78" i="1" s="1"/>
  <c r="U75" i="1"/>
  <c r="Z75" i="1" s="1"/>
  <c r="U31" i="1"/>
  <c r="Z31" i="1" s="1"/>
  <c r="U65" i="1"/>
  <c r="Z65" i="1" s="1"/>
  <c r="U86" i="1"/>
  <c r="Z86" i="1" s="1"/>
  <c r="U93" i="1"/>
  <c r="Z93" i="1" s="1"/>
  <c r="AA93" i="1" s="1"/>
  <c r="U40" i="1"/>
  <c r="Z40" i="1" s="1"/>
  <c r="U54" i="1"/>
  <c r="Z54" i="1" s="1"/>
  <c r="U62" i="1"/>
  <c r="Z62" i="1" s="1"/>
  <c r="AA62" i="1" s="1"/>
  <c r="U87" i="1"/>
  <c r="Z87" i="1" s="1"/>
  <c r="AF87" i="1" s="1"/>
  <c r="U61" i="1"/>
  <c r="Z61" i="1" s="1"/>
  <c r="AF61" i="1" s="1"/>
  <c r="U12" i="1"/>
  <c r="Z12" i="1" s="1"/>
  <c r="AG12" i="1" s="1"/>
  <c r="U29" i="1"/>
  <c r="Z29" i="1" s="1"/>
  <c r="U28" i="1"/>
  <c r="Z28" i="1" s="1"/>
  <c r="AF28" i="1" s="1"/>
  <c r="U23" i="1"/>
  <c r="Z23" i="1" s="1"/>
  <c r="U45" i="1"/>
  <c r="Z45" i="1" s="1"/>
  <c r="U16" i="1"/>
  <c r="U102" i="1"/>
  <c r="Z102" i="1" s="1"/>
  <c r="AG102" i="1" s="1"/>
  <c r="U72" i="1"/>
  <c r="Z72" i="1" s="1"/>
  <c r="AA72" i="1" s="1"/>
  <c r="Z10" i="1" l="1"/>
  <c r="AG10" i="1" s="1"/>
  <c r="Z67" i="1"/>
  <c r="AA67" i="1" s="1"/>
  <c r="Z38" i="1"/>
  <c r="AE38" i="1" s="1"/>
  <c r="Z27" i="1"/>
  <c r="AE27" i="1" s="1"/>
  <c r="Z103" i="1"/>
  <c r="AG103" i="1" s="1"/>
  <c r="Z104" i="1"/>
  <c r="AG104" i="1" s="1"/>
  <c r="Z94" i="1"/>
  <c r="AA94" i="1" s="1"/>
  <c r="Z39" i="1"/>
  <c r="AE39" i="1" s="1"/>
  <c r="Z92" i="1"/>
  <c r="AG92" i="1" s="1"/>
  <c r="Z5" i="1"/>
  <c r="AA5" i="1" s="1"/>
  <c r="Z43" i="1"/>
  <c r="AE43" i="1" s="1"/>
  <c r="Z57" i="1"/>
  <c r="AE57" i="1" s="1"/>
  <c r="Z48" i="1"/>
  <c r="AE48" i="1" s="1"/>
  <c r="Z42" i="1"/>
  <c r="AG42" i="1" s="1"/>
  <c r="Z6" i="1"/>
  <c r="AE6" i="1" s="1"/>
  <c r="Z16" i="1"/>
  <c r="AA16" i="1" s="1"/>
  <c r="AE20" i="1"/>
  <c r="Z15" i="1"/>
  <c r="AA15" i="1" s="1"/>
  <c r="AA20" i="1"/>
  <c r="Z63" i="1"/>
  <c r="AF63" i="1" s="1"/>
  <c r="Z84" i="1"/>
  <c r="AF84" i="1" s="1"/>
  <c r="Z71" i="1"/>
  <c r="AF71" i="1" s="1"/>
  <c r="Z97" i="1"/>
  <c r="AG97" i="1" s="1"/>
  <c r="Z37" i="1"/>
  <c r="AE37" i="1" s="1"/>
  <c r="AF20" i="1"/>
  <c r="AG76" i="1"/>
  <c r="AE76" i="1"/>
  <c r="AF76" i="1"/>
  <c r="AA76" i="1"/>
  <c r="AE79" i="1"/>
  <c r="AG79" i="1"/>
  <c r="AG64" i="1"/>
  <c r="AF79" i="1"/>
  <c r="AA79" i="1"/>
  <c r="Z14" i="1"/>
  <c r="AA14" i="1" s="1"/>
  <c r="AE64" i="1"/>
  <c r="AA64" i="1"/>
  <c r="AG83" i="1"/>
  <c r="AA83" i="1"/>
  <c r="AG89" i="1"/>
  <c r="AF83" i="1"/>
  <c r="AF22" i="1"/>
  <c r="AA22" i="1"/>
  <c r="AA35" i="1"/>
  <c r="AA21" i="1"/>
  <c r="AF41" i="1"/>
  <c r="AF74" i="1"/>
  <c r="AG101" i="1"/>
  <c r="AG78" i="1"/>
  <c r="AG25" i="1"/>
  <c r="AG74" i="1"/>
  <c r="AE89" i="1"/>
  <c r="AE74" i="1"/>
  <c r="AE78" i="1"/>
  <c r="AG8" i="1"/>
  <c r="AG34" i="1"/>
  <c r="AA47" i="1"/>
  <c r="AE40" i="1"/>
  <c r="AF34" i="1"/>
  <c r="AF101" i="1"/>
  <c r="AA101" i="1"/>
  <c r="AE56" i="1"/>
  <c r="AA8" i="1"/>
  <c r="AA78" i="1"/>
  <c r="AE21" i="1"/>
  <c r="AG56" i="1"/>
  <c r="AF78" i="1"/>
  <c r="AF21" i="1"/>
  <c r="AE22" i="1"/>
  <c r="AG96" i="1"/>
  <c r="AA96" i="1"/>
  <c r="AF89" i="1"/>
  <c r="AA40" i="1"/>
  <c r="AE96" i="1"/>
  <c r="AF26" i="1"/>
  <c r="AE91" i="1"/>
  <c r="AG32" i="1"/>
  <c r="AA26" i="1"/>
  <c r="AE87" i="1"/>
  <c r="AA32" i="1"/>
  <c r="AE32" i="1"/>
  <c r="AG26" i="1"/>
  <c r="AF8" i="1"/>
  <c r="AF19" i="1"/>
  <c r="AG28" i="1"/>
  <c r="AE28" i="1"/>
  <c r="AF53" i="1"/>
  <c r="AE93" i="1"/>
  <c r="AE53" i="1"/>
  <c r="AG19" i="1"/>
  <c r="AA19" i="1"/>
  <c r="AE41" i="1"/>
  <c r="AG93" i="1"/>
  <c r="AG53" i="1"/>
  <c r="AF93" i="1"/>
  <c r="AA85" i="1"/>
  <c r="AG41" i="1"/>
  <c r="AE19" i="1"/>
  <c r="AF56" i="1"/>
  <c r="AG87" i="1"/>
  <c r="AE62" i="1"/>
  <c r="AA87" i="1"/>
  <c r="AG77" i="1"/>
  <c r="AA13" i="1"/>
  <c r="AE95" i="1"/>
  <c r="AA77" i="1"/>
  <c r="AG95" i="1"/>
  <c r="AE7" i="1"/>
  <c r="AE34" i="1"/>
  <c r="AF40" i="1"/>
  <c r="AA34" i="1"/>
  <c r="AG40" i="1"/>
  <c r="AA51" i="1"/>
  <c r="AE47" i="1"/>
  <c r="AA95" i="1"/>
  <c r="AG51" i="1"/>
  <c r="AF91" i="1"/>
  <c r="AG47" i="1"/>
  <c r="AA23" i="1"/>
  <c r="AG23" i="1"/>
  <c r="AE23" i="1"/>
  <c r="AF23" i="1"/>
  <c r="AA29" i="1"/>
  <c r="AF29" i="1"/>
  <c r="AG70" i="1"/>
  <c r="AE70" i="1"/>
  <c r="AG24" i="1"/>
  <c r="AF66" i="1"/>
  <c r="AF62" i="1"/>
  <c r="AF70" i="1"/>
  <c r="AA66" i="1"/>
  <c r="AA28" i="1"/>
  <c r="AF24" i="1"/>
  <c r="AG91" i="1"/>
  <c r="AE88" i="1"/>
  <c r="AE66" i="1"/>
  <c r="AE24" i="1"/>
  <c r="AA36" i="1"/>
  <c r="AA88" i="1"/>
  <c r="AA31" i="1"/>
  <c r="AE35" i="1"/>
  <c r="AF35" i="1"/>
  <c r="AA45" i="1"/>
  <c r="AF45" i="1"/>
  <c r="AE45" i="1"/>
  <c r="AG45" i="1"/>
  <c r="AG62" i="1"/>
  <c r="AE51" i="1"/>
  <c r="AG80" i="1"/>
  <c r="AF51" i="1"/>
  <c r="AE59" i="1"/>
  <c r="AF30" i="1"/>
  <c r="AG31" i="1"/>
  <c r="AA59" i="1"/>
  <c r="AF52" i="1"/>
  <c r="AF59" i="1"/>
  <c r="AE30" i="1"/>
  <c r="AA52" i="1"/>
  <c r="AE52" i="1"/>
  <c r="AG59" i="1"/>
  <c r="AG36" i="1"/>
  <c r="AA30" i="1"/>
  <c r="AA102" i="1"/>
  <c r="AG52" i="1"/>
  <c r="AF46" i="1"/>
  <c r="AF25" i="1"/>
  <c r="AG88" i="1"/>
  <c r="AE77" i="1"/>
  <c r="AE85" i="1"/>
  <c r="AG72" i="1"/>
  <c r="AE36" i="1"/>
  <c r="AA25" i="1"/>
  <c r="AG7" i="1"/>
  <c r="AG44" i="1"/>
  <c r="AE18" i="1"/>
  <c r="AE44" i="1"/>
  <c r="AG18" i="1"/>
  <c r="AG29" i="1"/>
  <c r="AA18" i="1"/>
  <c r="AF44" i="1"/>
  <c r="AE55" i="1"/>
  <c r="AA61" i="1"/>
  <c r="AE68" i="1"/>
  <c r="AG61" i="1"/>
  <c r="AF55" i="1"/>
  <c r="AE80" i="1"/>
  <c r="AG46" i="1"/>
  <c r="AE29" i="1"/>
  <c r="AF68" i="1"/>
  <c r="AF80" i="1"/>
  <c r="AF12" i="1"/>
  <c r="AE46" i="1"/>
  <c r="AE61" i="1"/>
  <c r="AE72" i="1"/>
  <c r="AG55" i="1"/>
  <c r="AE13" i="1"/>
  <c r="AF72" i="1"/>
  <c r="AF102" i="1"/>
  <c r="AA68" i="1"/>
  <c r="AA7" i="1"/>
  <c r="AE12" i="1"/>
  <c r="AF13" i="1"/>
  <c r="AF31" i="1"/>
  <c r="AA12" i="1"/>
  <c r="AG85" i="1"/>
  <c r="AG13" i="1"/>
  <c r="AE102" i="1"/>
  <c r="AE31" i="1"/>
  <c r="AE60" i="1"/>
  <c r="AF60" i="1"/>
  <c r="AA60" i="1"/>
  <c r="AG60" i="1"/>
  <c r="AA100" i="1"/>
  <c r="AF100" i="1"/>
  <c r="AG100" i="1"/>
  <c r="AE100" i="1"/>
  <c r="AE99" i="1"/>
  <c r="AG99" i="1"/>
  <c r="AA99" i="1"/>
  <c r="AF99" i="1"/>
  <c r="AA82" i="1"/>
  <c r="AE82" i="1"/>
  <c r="AF82" i="1"/>
  <c r="AG82" i="1"/>
  <c r="AA50" i="1"/>
  <c r="AF50" i="1"/>
  <c r="AE50" i="1"/>
  <c r="AG50" i="1"/>
  <c r="AA75" i="1"/>
  <c r="AG75" i="1"/>
  <c r="AF75" i="1"/>
  <c r="AE75" i="1"/>
  <c r="AA58" i="1"/>
  <c r="AE58" i="1"/>
  <c r="AG58" i="1"/>
  <c r="AF58" i="1"/>
  <c r="AF11" i="1"/>
  <c r="AA11" i="1"/>
  <c r="AE11" i="1"/>
  <c r="AG11" i="1"/>
  <c r="AG4" i="1"/>
  <c r="AF4" i="1"/>
  <c r="AE4" i="1"/>
  <c r="AA4" i="1"/>
  <c r="AA17" i="1"/>
  <c r="AE17" i="1"/>
  <c r="AF17" i="1"/>
  <c r="AG17" i="1"/>
  <c r="AE33" i="1"/>
  <c r="AA33" i="1"/>
  <c r="AF33" i="1"/>
  <c r="AG33" i="1"/>
  <c r="AA49" i="1"/>
  <c r="AF49" i="1"/>
  <c r="AE49" i="1"/>
  <c r="AG49" i="1"/>
  <c r="AA86" i="1"/>
  <c r="AF86" i="1"/>
  <c r="AG86" i="1"/>
  <c r="AE86" i="1"/>
  <c r="AA81" i="1"/>
  <c r="AF81" i="1"/>
  <c r="AE81" i="1"/>
  <c r="AG81" i="1"/>
  <c r="AA90" i="1"/>
  <c r="AE90" i="1"/>
  <c r="AG90" i="1"/>
  <c r="AF90" i="1"/>
  <c r="AG9" i="1"/>
  <c r="AA9" i="1"/>
  <c r="AE9" i="1"/>
  <c r="AF9" i="1"/>
  <c r="AA73" i="1"/>
  <c r="AE73" i="1"/>
  <c r="AG73" i="1"/>
  <c r="AF73" i="1"/>
  <c r="AE54" i="1"/>
  <c r="AA54" i="1"/>
  <c r="AF54" i="1"/>
  <c r="AG54" i="1"/>
  <c r="AF65" i="1"/>
  <c r="AA65" i="1"/>
  <c r="AE65" i="1"/>
  <c r="AG65" i="1"/>
  <c r="AG98" i="1"/>
  <c r="AA98" i="1"/>
  <c r="AE98" i="1"/>
  <c r="AF98" i="1"/>
  <c r="AA69" i="1"/>
  <c r="AG69" i="1"/>
  <c r="AE69" i="1"/>
  <c r="AF69" i="1"/>
  <c r="AF10" i="1" l="1"/>
  <c r="AA10" i="1"/>
  <c r="AE10" i="1"/>
  <c r="AE67" i="1"/>
  <c r="AA27" i="1"/>
  <c r="AF38" i="1"/>
  <c r="AF67" i="1"/>
  <c r="AF103" i="1"/>
  <c r="AF27" i="1"/>
  <c r="AG67" i="1"/>
  <c r="AG43" i="1"/>
  <c r="AA43" i="1"/>
  <c r="AG38" i="1"/>
  <c r="AA38" i="1"/>
  <c r="AF43" i="1"/>
  <c r="AA103" i="1"/>
  <c r="AE103" i="1"/>
  <c r="AG27" i="1"/>
  <c r="AE104" i="1"/>
  <c r="AA48" i="1"/>
  <c r="AF5" i="1"/>
  <c r="AF104" i="1"/>
  <c r="AF57" i="1"/>
  <c r="AG57" i="1"/>
  <c r="AA57" i="1"/>
  <c r="AG39" i="1"/>
  <c r="AF92" i="1"/>
  <c r="AA39" i="1"/>
  <c r="AA104" i="1"/>
  <c r="AA92" i="1"/>
  <c r="AE92" i="1"/>
  <c r="AF94" i="1"/>
  <c r="AE94" i="1"/>
  <c r="AG94" i="1"/>
  <c r="AF42" i="1"/>
  <c r="AG48" i="1"/>
  <c r="AF48" i="1"/>
  <c r="AF39" i="1"/>
  <c r="AE5" i="1"/>
  <c r="AG5" i="1"/>
  <c r="AF6" i="1"/>
  <c r="AE97" i="1"/>
  <c r="AA6" i="1"/>
  <c r="AE71" i="1"/>
  <c r="AG6" i="1"/>
  <c r="AE42" i="1"/>
  <c r="AA71" i="1"/>
  <c r="I106" i="19" s="1"/>
  <c r="AA63" i="1"/>
  <c r="AE16" i="1"/>
  <c r="AG15" i="1"/>
  <c r="AA42" i="1"/>
  <c r="AH20" i="1"/>
  <c r="AI20" i="1" s="1"/>
  <c r="AG63" i="1"/>
  <c r="AF15" i="1"/>
  <c r="AH76" i="1"/>
  <c r="AI76" i="1" s="1"/>
  <c r="AE15" i="1"/>
  <c r="AE63" i="1"/>
  <c r="AG84" i="1"/>
  <c r="AA97" i="1"/>
  <c r="AF97" i="1"/>
  <c r="AF37" i="1"/>
  <c r="AF16" i="1"/>
  <c r="AG16" i="1"/>
  <c r="AE84" i="1"/>
  <c r="AA84" i="1"/>
  <c r="AG71" i="1"/>
  <c r="AA37" i="1"/>
  <c r="AG37" i="1"/>
  <c r="AH79" i="1"/>
  <c r="AI79" i="1" s="1"/>
  <c r="AH4" i="1"/>
  <c r="AJ4" i="1" s="1"/>
  <c r="AH64" i="1"/>
  <c r="AJ64" i="1" s="1"/>
  <c r="AF14" i="1"/>
  <c r="AH18" i="1"/>
  <c r="AI18" i="1" s="1"/>
  <c r="AH83" i="1"/>
  <c r="AJ83" i="1" s="1"/>
  <c r="AE14" i="1"/>
  <c r="AH25" i="1"/>
  <c r="AJ25" i="1" s="1"/>
  <c r="AK25" i="1" s="1"/>
  <c r="AH89" i="1"/>
  <c r="AJ89" i="1" s="1"/>
  <c r="AG14" i="1"/>
  <c r="AH22" i="1"/>
  <c r="AI22" i="1" s="1"/>
  <c r="AH101" i="1"/>
  <c r="AI101" i="1" s="1"/>
  <c r="AH41" i="1"/>
  <c r="AJ41" i="1" s="1"/>
  <c r="AH77" i="1"/>
  <c r="AJ77" i="1" s="1"/>
  <c r="AH74" i="1"/>
  <c r="AJ74" i="1" s="1"/>
  <c r="AH30" i="1"/>
  <c r="AI30" i="1" s="1"/>
  <c r="AH85" i="1"/>
  <c r="AI85" i="1" s="1"/>
  <c r="AH21" i="1"/>
  <c r="AJ21" i="1" s="1"/>
  <c r="AH8" i="1"/>
  <c r="AJ8" i="1" s="1"/>
  <c r="AH40" i="1"/>
  <c r="AI40" i="1" s="1"/>
  <c r="AH78" i="1"/>
  <c r="AJ78" i="1" s="1"/>
  <c r="AH34" i="1"/>
  <c r="AH56" i="1"/>
  <c r="AJ56" i="1" s="1"/>
  <c r="AH87" i="1"/>
  <c r="AI87" i="1" s="1"/>
  <c r="AH96" i="1"/>
  <c r="AJ96" i="1" s="1"/>
  <c r="AH26" i="1"/>
  <c r="AJ26" i="1" s="1"/>
  <c r="AK26" i="1" s="1"/>
  <c r="AH95" i="1"/>
  <c r="AI95" i="1" s="1"/>
  <c r="AH32" i="1"/>
  <c r="AJ32" i="1" s="1"/>
  <c r="AK32" i="1" s="1"/>
  <c r="AH31" i="1"/>
  <c r="AI31" i="1" s="1"/>
  <c r="AH45" i="1"/>
  <c r="AJ45" i="1" s="1"/>
  <c r="AK45" i="1" s="1"/>
  <c r="AH35" i="1"/>
  <c r="AI35" i="1" s="1"/>
  <c r="AH53" i="1"/>
  <c r="AJ53" i="1" s="1"/>
  <c r="AH93" i="1"/>
  <c r="AJ93" i="1" s="1"/>
  <c r="AH23" i="1"/>
  <c r="AJ23" i="1" s="1"/>
  <c r="AH51" i="1"/>
  <c r="AI51" i="1" s="1"/>
  <c r="AH19" i="1"/>
  <c r="AJ19" i="1" s="1"/>
  <c r="AK19" i="1" s="1"/>
  <c r="AH44" i="1"/>
  <c r="AJ44" i="1" s="1"/>
  <c r="AH62" i="1"/>
  <c r="AJ62" i="1" s="1"/>
  <c r="AH88" i="1"/>
  <c r="AJ88" i="1" s="1"/>
  <c r="AH70" i="1"/>
  <c r="AI70" i="1" s="1"/>
  <c r="AH28" i="1"/>
  <c r="AJ28" i="1" s="1"/>
  <c r="AH66" i="1"/>
  <c r="AJ66" i="1" s="1"/>
  <c r="AH47" i="1"/>
  <c r="AI47" i="1" s="1"/>
  <c r="AH29" i="1"/>
  <c r="AJ29" i="1" s="1"/>
  <c r="AH91" i="1"/>
  <c r="AI91" i="1" s="1"/>
  <c r="AH24" i="1"/>
  <c r="AJ24" i="1" s="1"/>
  <c r="AH7" i="1"/>
  <c r="AJ7" i="1" s="1"/>
  <c r="AK7" i="1" s="1"/>
  <c r="AH52" i="1"/>
  <c r="AJ52" i="1" s="1"/>
  <c r="AH59" i="1"/>
  <c r="AI59" i="1" s="1"/>
  <c r="AH61" i="1"/>
  <c r="AI61" i="1" s="1"/>
  <c r="AH46" i="1"/>
  <c r="AI46" i="1" s="1"/>
  <c r="AH55" i="1"/>
  <c r="AI55" i="1" s="1"/>
  <c r="AH13" i="1"/>
  <c r="AJ13" i="1" s="1"/>
  <c r="AH36" i="1"/>
  <c r="AJ36" i="1" s="1"/>
  <c r="AH12" i="1"/>
  <c r="AI12" i="1" s="1"/>
  <c r="AH102" i="1"/>
  <c r="AI102" i="1" s="1"/>
  <c r="AH100" i="1"/>
  <c r="AI100" i="1" s="1"/>
  <c r="AH80" i="1"/>
  <c r="AH86" i="1"/>
  <c r="AI86" i="1" s="1"/>
  <c r="AH72" i="1"/>
  <c r="AH68" i="1"/>
  <c r="AH17" i="1"/>
  <c r="AI17" i="1" s="1"/>
  <c r="AH54" i="1"/>
  <c r="AJ54" i="1" s="1"/>
  <c r="AH75" i="1"/>
  <c r="AJ75" i="1" s="1"/>
  <c r="AH49" i="1"/>
  <c r="AI49" i="1" s="1"/>
  <c r="AH82" i="1"/>
  <c r="AH58" i="1"/>
  <c r="AH81" i="1"/>
  <c r="AH65" i="1"/>
  <c r="AH90" i="1"/>
  <c r="AH73" i="1"/>
  <c r="AH69" i="1"/>
  <c r="AH98" i="1"/>
  <c r="AH9" i="1"/>
  <c r="AH99" i="1"/>
  <c r="AH60" i="1"/>
  <c r="AH50" i="1"/>
  <c r="AH33" i="1"/>
  <c r="AH11" i="1"/>
  <c r="I109" i="19" l="1"/>
  <c r="I104" i="19"/>
  <c r="I102" i="19"/>
  <c r="I107" i="19"/>
  <c r="I103" i="19"/>
  <c r="I6" i="19"/>
  <c r="I11" i="19"/>
  <c r="I98" i="19"/>
  <c r="I99" i="19"/>
  <c r="I105" i="19"/>
  <c r="I96" i="19"/>
  <c r="I110" i="19"/>
  <c r="I97" i="19"/>
  <c r="I113" i="19" s="1"/>
  <c r="I29" i="19"/>
  <c r="I101" i="19"/>
  <c r="I100" i="19"/>
  <c r="I108" i="19"/>
  <c r="AH10" i="1"/>
  <c r="AI10" i="1" s="1"/>
  <c r="AH38" i="1"/>
  <c r="AH67" i="1"/>
  <c r="AH57" i="1"/>
  <c r="AI57" i="1" s="1"/>
  <c r="AH103" i="1"/>
  <c r="AI103" i="1" s="1"/>
  <c r="AH27" i="1"/>
  <c r="AJ27" i="1" s="1"/>
  <c r="AH43" i="1"/>
  <c r="AI43" i="1" s="1"/>
  <c r="I147" i="19"/>
  <c r="I78" i="19"/>
  <c r="I87" i="19"/>
  <c r="I76" i="19"/>
  <c r="I83" i="19"/>
  <c r="I88" i="19"/>
  <c r="I75" i="19"/>
  <c r="I80" i="19"/>
  <c r="I82" i="19"/>
  <c r="I77" i="19"/>
  <c r="I79" i="19"/>
  <c r="I85" i="19"/>
  <c r="AH104" i="1"/>
  <c r="AJ104" i="1" s="1"/>
  <c r="AK104" i="1" s="1"/>
  <c r="I86" i="19"/>
  <c r="I65" i="19"/>
  <c r="AH39" i="1"/>
  <c r="AI39" i="1" s="1"/>
  <c r="I81" i="19"/>
  <c r="I73" i="19"/>
  <c r="I84" i="19"/>
  <c r="I74" i="19"/>
  <c r="I130" i="19"/>
  <c r="AH92" i="1"/>
  <c r="AI92" i="1" s="1"/>
  <c r="AH5" i="1"/>
  <c r="AJ5" i="1" s="1"/>
  <c r="K5" i="1" s="1"/>
  <c r="I148" i="19"/>
  <c r="I151" i="19" s="1"/>
  <c r="I146" i="19"/>
  <c r="I152" i="19" s="1"/>
  <c r="I63" i="19"/>
  <c r="I120" i="19"/>
  <c r="AH42" i="1"/>
  <c r="AI42" i="1" s="1"/>
  <c r="AH94" i="1"/>
  <c r="AJ94" i="1" s="1"/>
  <c r="I137" i="19"/>
  <c r="I131" i="19"/>
  <c r="AH63" i="1"/>
  <c r="AJ63" i="1" s="1"/>
  <c r="K63" i="1" s="1"/>
  <c r="I58" i="19"/>
  <c r="I138" i="19"/>
  <c r="I140" i="19" s="1"/>
  <c r="I125" i="19"/>
  <c r="I118" i="19"/>
  <c r="I129" i="19"/>
  <c r="I127" i="19"/>
  <c r="I126" i="19"/>
  <c r="I132" i="19"/>
  <c r="I134" i="19"/>
  <c r="I128" i="19"/>
  <c r="I121" i="19"/>
  <c r="I124" i="19"/>
  <c r="I123" i="19"/>
  <c r="I122" i="19"/>
  <c r="I133" i="19"/>
  <c r="I136" i="19"/>
  <c r="I135" i="19"/>
  <c r="I119" i="19"/>
  <c r="AH48" i="1"/>
  <c r="AI48" i="1" s="1"/>
  <c r="I17" i="19"/>
  <c r="E8" i="17"/>
  <c r="F14" i="17" s="1"/>
  <c r="F22" i="17" s="1"/>
  <c r="AH6" i="1"/>
  <c r="AJ6" i="1" s="1"/>
  <c r="AK6" i="1" s="1"/>
  <c r="I45" i="19"/>
  <c r="I40" i="19"/>
  <c r="AH71" i="1"/>
  <c r="AJ71" i="1" s="1"/>
  <c r="AK71" i="1" s="1"/>
  <c r="I13" i="19"/>
  <c r="I21" i="19"/>
  <c r="I42" i="19"/>
  <c r="I19" i="19"/>
  <c r="I32" i="19"/>
  <c r="I18" i="19"/>
  <c r="I54" i="19"/>
  <c r="I36" i="19"/>
  <c r="I43" i="19"/>
  <c r="I20" i="19"/>
  <c r="I62" i="19"/>
  <c r="I38" i="19"/>
  <c r="I16" i="19"/>
  <c r="I55" i="19"/>
  <c r="I30" i="19"/>
  <c r="I9" i="19"/>
  <c r="I59" i="19"/>
  <c r="I39" i="19"/>
  <c r="I15" i="19"/>
  <c r="I60" i="19"/>
  <c r="I35" i="19"/>
  <c r="I14" i="19"/>
  <c r="I64" i="19"/>
  <c r="I41" i="19"/>
  <c r="I12" i="19"/>
  <c r="I56" i="19"/>
  <c r="I33" i="19"/>
  <c r="I10" i="19"/>
  <c r="I57" i="19"/>
  <c r="I31" i="19"/>
  <c r="I48" i="19" s="1"/>
  <c r="I8" i="19"/>
  <c r="I61" i="19"/>
  <c r="I34" i="19"/>
  <c r="I7" i="19"/>
  <c r="I44" i="19"/>
  <c r="AH97" i="1"/>
  <c r="AJ97" i="1" s="1"/>
  <c r="I46" i="19"/>
  <c r="I37" i="19"/>
  <c r="AH15" i="1"/>
  <c r="AI15" i="1" s="1"/>
  <c r="AH16" i="1"/>
  <c r="AI16" i="1" s="1"/>
  <c r="AJ76" i="1"/>
  <c r="AK76" i="1" s="1"/>
  <c r="AJ20" i="1"/>
  <c r="AK20" i="1" s="1"/>
  <c r="AH84" i="1"/>
  <c r="AI84" i="1" s="1"/>
  <c r="AI4" i="1"/>
  <c r="AH37" i="1"/>
  <c r="AI37" i="1" s="1"/>
  <c r="AI83" i="1"/>
  <c r="AJ79" i="1"/>
  <c r="AK79" i="1" s="1"/>
  <c r="AI25" i="1"/>
  <c r="AJ22" i="1"/>
  <c r="AK22" i="1" s="1"/>
  <c r="AI89" i="1"/>
  <c r="K25" i="1"/>
  <c r="AH14" i="1"/>
  <c r="AJ14" i="1" s="1"/>
  <c r="AK14" i="1" s="1"/>
  <c r="AJ101" i="1"/>
  <c r="AK101" i="1" s="1"/>
  <c r="AI64" i="1"/>
  <c r="AJ18" i="1"/>
  <c r="AK18" i="1" s="1"/>
  <c r="AJ85" i="1"/>
  <c r="AK85" i="1" s="1"/>
  <c r="AI77" i="1"/>
  <c r="AI21" i="1"/>
  <c r="AI41" i="1"/>
  <c r="AI74" i="1"/>
  <c r="AJ30" i="1"/>
  <c r="K30" i="1" s="1"/>
  <c r="AI24" i="1"/>
  <c r="AI78" i="1"/>
  <c r="AI8" i="1"/>
  <c r="AJ35" i="1"/>
  <c r="K35" i="1" s="1"/>
  <c r="AJ40" i="1"/>
  <c r="K40" i="1" s="1"/>
  <c r="AJ87" i="1"/>
  <c r="K87" i="1" s="1"/>
  <c r="AJ47" i="1"/>
  <c r="AK47" i="1" s="1"/>
  <c r="AJ95" i="1"/>
  <c r="K95" i="1" s="1"/>
  <c r="AI56" i="1"/>
  <c r="K32" i="1"/>
  <c r="AI96" i="1"/>
  <c r="AJ61" i="1"/>
  <c r="K61" i="1" s="1"/>
  <c r="AI62" i="1"/>
  <c r="AI32" i="1"/>
  <c r="AJ31" i="1"/>
  <c r="AK31" i="1" s="1"/>
  <c r="K26" i="1"/>
  <c r="AI26" i="1"/>
  <c r="AJ34" i="1"/>
  <c r="AI34" i="1"/>
  <c r="AI52" i="1"/>
  <c r="AI23" i="1"/>
  <c r="AJ91" i="1"/>
  <c r="AK91" i="1" s="1"/>
  <c r="AJ70" i="1"/>
  <c r="AK70" i="1" s="1"/>
  <c r="AJ46" i="1"/>
  <c r="AK46" i="1" s="1"/>
  <c r="AI45" i="1"/>
  <c r="AI66" i="1"/>
  <c r="AI53" i="1"/>
  <c r="AI29" i="1"/>
  <c r="AI88" i="1"/>
  <c r="AI13" i="1"/>
  <c r="AI93" i="1"/>
  <c r="AI44" i="1"/>
  <c r="AJ51" i="1"/>
  <c r="AK51" i="1" s="1"/>
  <c r="K19" i="1"/>
  <c r="AI19" i="1"/>
  <c r="AI28" i="1"/>
  <c r="AK4" i="1"/>
  <c r="AK56" i="1"/>
  <c r="K56" i="1"/>
  <c r="AI75" i="1"/>
  <c r="AJ55" i="1"/>
  <c r="AK55" i="1" s="1"/>
  <c r="AI7" i="1"/>
  <c r="AJ12" i="1"/>
  <c r="K12" i="1" s="1"/>
  <c r="AJ59" i="1"/>
  <c r="AK59" i="1" s="1"/>
  <c r="AI36" i="1"/>
  <c r="AI54" i="1"/>
  <c r="K7" i="1"/>
  <c r="AK89" i="1"/>
  <c r="K89" i="1"/>
  <c r="AK62" i="1"/>
  <c r="K62" i="1"/>
  <c r="AJ100" i="1"/>
  <c r="AK100" i="1" s="1"/>
  <c r="AJ102" i="1"/>
  <c r="AK102" i="1" s="1"/>
  <c r="K45" i="1"/>
  <c r="AI68" i="1"/>
  <c r="AJ68" i="1"/>
  <c r="AJ17" i="1"/>
  <c r="AK17" i="1" s="1"/>
  <c r="AJ86" i="1"/>
  <c r="AK86" i="1" s="1"/>
  <c r="AI72" i="1"/>
  <c r="AJ72" i="1"/>
  <c r="AJ80" i="1"/>
  <c r="AI80" i="1"/>
  <c r="AJ49" i="1"/>
  <c r="AK49" i="1" s="1"/>
  <c r="AK8" i="1"/>
  <c r="K8" i="1"/>
  <c r="AK36" i="1"/>
  <c r="K36" i="1"/>
  <c r="AK93" i="1"/>
  <c r="K93" i="1"/>
  <c r="AK21" i="1"/>
  <c r="K21" i="1"/>
  <c r="AI11" i="1"/>
  <c r="AJ11" i="1"/>
  <c r="AI82" i="1"/>
  <c r="AJ82" i="1"/>
  <c r="AK29" i="1"/>
  <c r="K29" i="1"/>
  <c r="AK13" i="1"/>
  <c r="K13" i="1"/>
  <c r="AK78" i="1"/>
  <c r="K78" i="1"/>
  <c r="AK64" i="1"/>
  <c r="K64" i="1"/>
  <c r="AK52" i="1"/>
  <c r="K52" i="1"/>
  <c r="AI50" i="1"/>
  <c r="AJ50" i="1"/>
  <c r="AK24" i="1"/>
  <c r="K24" i="1"/>
  <c r="AK53" i="1"/>
  <c r="K53" i="1"/>
  <c r="AI69" i="1"/>
  <c r="AJ69" i="1"/>
  <c r="AJ33" i="1"/>
  <c r="AI33" i="1"/>
  <c r="AI38" i="1"/>
  <c r="AJ38" i="1"/>
  <c r="AJ9" i="1"/>
  <c r="AI9" i="1"/>
  <c r="AK23" i="1"/>
  <c r="K23" i="1"/>
  <c r="AI98" i="1"/>
  <c r="AJ98" i="1"/>
  <c r="AJ65" i="1"/>
  <c r="AI65" i="1"/>
  <c r="AK28" i="1"/>
  <c r="K28" i="1"/>
  <c r="AI67" i="1"/>
  <c r="AJ67" i="1"/>
  <c r="AK75" i="1"/>
  <c r="K75" i="1"/>
  <c r="AK54" i="1"/>
  <c r="K54" i="1"/>
  <c r="AK83" i="1"/>
  <c r="K83" i="1"/>
  <c r="AK77" i="1"/>
  <c r="K77" i="1"/>
  <c r="AI90" i="1"/>
  <c r="AJ90" i="1"/>
  <c r="AK44" i="1"/>
  <c r="K44" i="1"/>
  <c r="AI60" i="1"/>
  <c r="AJ60" i="1"/>
  <c r="AI58" i="1"/>
  <c r="AJ58" i="1"/>
  <c r="AI99" i="1"/>
  <c r="AJ99" i="1"/>
  <c r="AK66" i="1"/>
  <c r="K66" i="1"/>
  <c r="AK41" i="1"/>
  <c r="K41" i="1"/>
  <c r="AK74" i="1"/>
  <c r="K74" i="1"/>
  <c r="AI81" i="1"/>
  <c r="AJ81" i="1"/>
  <c r="AK88" i="1"/>
  <c r="K88" i="1"/>
  <c r="AI73" i="1"/>
  <c r="AJ73" i="1"/>
  <c r="AK96" i="1"/>
  <c r="K96" i="1"/>
  <c r="I150" i="19" l="1"/>
  <c r="K104" i="1"/>
  <c r="AJ103" i="1"/>
  <c r="K103" i="1" s="1"/>
  <c r="AI27" i="1"/>
  <c r="J42" i="19" s="1"/>
  <c r="I112" i="19"/>
  <c r="I114" i="19"/>
  <c r="AJ43" i="1"/>
  <c r="K43" i="1" s="1"/>
  <c r="AJ42" i="1"/>
  <c r="AK42" i="1" s="1"/>
  <c r="AJ10" i="1"/>
  <c r="K10" i="1" s="1"/>
  <c r="AJ39" i="1"/>
  <c r="K39" i="1" s="1"/>
  <c r="AJ57" i="1"/>
  <c r="AK57" i="1" s="1"/>
  <c r="AI104" i="1"/>
  <c r="AK5" i="1"/>
  <c r="I91" i="19"/>
  <c r="AI5" i="1"/>
  <c r="AJ92" i="1"/>
  <c r="K92" i="1" s="1"/>
  <c r="I90" i="19"/>
  <c r="AJ48" i="1"/>
  <c r="K48" i="1" s="1"/>
  <c r="AI94" i="1"/>
  <c r="I92" i="19"/>
  <c r="AI63" i="1"/>
  <c r="AK63" i="1"/>
  <c r="K6" i="1"/>
  <c r="AI97" i="1"/>
  <c r="I142" i="19"/>
  <c r="I67" i="19"/>
  <c r="I69" i="19"/>
  <c r="I50" i="19"/>
  <c r="I68" i="19"/>
  <c r="AI71" i="1"/>
  <c r="J97" i="19" s="1"/>
  <c r="K71" i="1"/>
  <c r="AI6" i="1"/>
  <c r="F21" i="17"/>
  <c r="F19" i="17"/>
  <c r="F20" i="17"/>
  <c r="F24" i="17"/>
  <c r="F23" i="17"/>
  <c r="I23" i="19"/>
  <c r="K79" i="1"/>
  <c r="AJ16" i="1"/>
  <c r="K16" i="1" s="1"/>
  <c r="I25" i="19"/>
  <c r="AJ15" i="1"/>
  <c r="K15" i="1" s="1"/>
  <c r="J33" i="19"/>
  <c r="K76" i="1"/>
  <c r="J44" i="19"/>
  <c r="J46" i="19"/>
  <c r="J37" i="19"/>
  <c r="J29" i="19"/>
  <c r="K20" i="1"/>
  <c r="AJ84" i="1"/>
  <c r="AK84" i="1" s="1"/>
  <c r="J35" i="19"/>
  <c r="J41" i="19"/>
  <c r="J34" i="19"/>
  <c r="J31" i="19"/>
  <c r="J48" i="19" s="1"/>
  <c r="J65" i="19"/>
  <c r="J61" i="19"/>
  <c r="J57" i="19"/>
  <c r="J64" i="19"/>
  <c r="J60" i="19"/>
  <c r="J56" i="19"/>
  <c r="J55" i="19"/>
  <c r="J59" i="19"/>
  <c r="J63" i="19"/>
  <c r="J58" i="19"/>
  <c r="J54" i="19"/>
  <c r="J62" i="19"/>
  <c r="K22" i="1"/>
  <c r="AJ37" i="1"/>
  <c r="AK37" i="1" s="1"/>
  <c r="AI14" i="1"/>
  <c r="K14" i="1"/>
  <c r="H21" i="17"/>
  <c r="H24" i="17"/>
  <c r="H19" i="17"/>
  <c r="H22" i="17"/>
  <c r="H23" i="17"/>
  <c r="H20" i="17"/>
  <c r="K101" i="1"/>
  <c r="K85" i="1"/>
  <c r="K18" i="1"/>
  <c r="AK30" i="1"/>
  <c r="AK35" i="1"/>
  <c r="AK95" i="1"/>
  <c r="AK87" i="1"/>
  <c r="AK40" i="1"/>
  <c r="AK61" i="1"/>
  <c r="K47" i="1"/>
  <c r="K31" i="1"/>
  <c r="AK34" i="1"/>
  <c r="K34" i="1"/>
  <c r="K91" i="1"/>
  <c r="K70" i="1"/>
  <c r="K46" i="1"/>
  <c r="K51" i="1"/>
  <c r="K100" i="1"/>
  <c r="K4" i="1"/>
  <c r="AK12" i="1"/>
  <c r="K59" i="1"/>
  <c r="K86" i="1"/>
  <c r="K55" i="1"/>
  <c r="K102" i="1"/>
  <c r="K49" i="1"/>
  <c r="AK80" i="1"/>
  <c r="K80" i="1"/>
  <c r="AK72" i="1"/>
  <c r="K72" i="1"/>
  <c r="AK68" i="1"/>
  <c r="K68" i="1"/>
  <c r="K17" i="1"/>
  <c r="AK98" i="1"/>
  <c r="K98" i="1"/>
  <c r="AK67" i="1"/>
  <c r="K67" i="1"/>
  <c r="AK90" i="1"/>
  <c r="K90" i="1"/>
  <c r="AK81" i="1"/>
  <c r="K81" i="1"/>
  <c r="AK38" i="1"/>
  <c r="K38" i="1"/>
  <c r="AK50" i="1"/>
  <c r="K50" i="1"/>
  <c r="AK27" i="1"/>
  <c r="K27" i="1"/>
  <c r="AK99" i="1"/>
  <c r="K99" i="1"/>
  <c r="AK97" i="1"/>
  <c r="K97" i="1"/>
  <c r="AK82" i="1"/>
  <c r="K82" i="1"/>
  <c r="AK58" i="1"/>
  <c r="K58" i="1"/>
  <c r="AK11" i="1"/>
  <c r="K11" i="1"/>
  <c r="AK33" i="1"/>
  <c r="K33" i="1"/>
  <c r="AK69" i="1"/>
  <c r="K69" i="1"/>
  <c r="AK94" i="1"/>
  <c r="K94" i="1"/>
  <c r="AK9" i="1"/>
  <c r="K9" i="1"/>
  <c r="AK65" i="1"/>
  <c r="K65" i="1"/>
  <c r="AK73" i="1"/>
  <c r="K73" i="1"/>
  <c r="AK60" i="1"/>
  <c r="K60" i="1"/>
  <c r="J40" i="19" l="1"/>
  <c r="J45" i="19"/>
  <c r="AK103" i="1"/>
  <c r="J39" i="19"/>
  <c r="J43" i="19"/>
  <c r="J30" i="19"/>
  <c r="G109" i="19"/>
  <c r="J38" i="19"/>
  <c r="J100" i="19"/>
  <c r="J32" i="19"/>
  <c r="J109" i="19"/>
  <c r="J102" i="19"/>
  <c r="J36" i="19"/>
  <c r="J96" i="19"/>
  <c r="J110" i="19"/>
  <c r="J147" i="19"/>
  <c r="K57" i="1"/>
  <c r="G87" i="19" s="1"/>
  <c r="J11" i="19"/>
  <c r="J105" i="19"/>
  <c r="G99" i="19"/>
  <c r="G107" i="19"/>
  <c r="G106" i="19"/>
  <c r="AK43" i="1"/>
  <c r="G98" i="19"/>
  <c r="G103" i="19"/>
  <c r="J104" i="19"/>
  <c r="G97" i="19"/>
  <c r="J107" i="19"/>
  <c r="G105" i="19"/>
  <c r="J98" i="19"/>
  <c r="G101" i="19"/>
  <c r="J103" i="19"/>
  <c r="G104" i="19"/>
  <c r="J108" i="19"/>
  <c r="G96" i="19"/>
  <c r="G108" i="19"/>
  <c r="G100" i="19"/>
  <c r="G110" i="19"/>
  <c r="J99" i="19"/>
  <c r="G11" i="19"/>
  <c r="G6" i="19"/>
  <c r="G7" i="19"/>
  <c r="G102" i="19"/>
  <c r="J101" i="19"/>
  <c r="J106" i="19"/>
  <c r="C8" i="17"/>
  <c r="D14" i="17" s="1"/>
  <c r="J146" i="19"/>
  <c r="J152" i="19" s="1"/>
  <c r="AK10" i="1"/>
  <c r="K42" i="1"/>
  <c r="G61" i="19" s="1"/>
  <c r="J118" i="19"/>
  <c r="AK39" i="1"/>
  <c r="J148" i="19"/>
  <c r="J151" i="19" s="1"/>
  <c r="J124" i="19"/>
  <c r="AK48" i="1"/>
  <c r="J130" i="19"/>
  <c r="J134" i="19"/>
  <c r="J133" i="19"/>
  <c r="J129" i="19"/>
  <c r="J121" i="19"/>
  <c r="J123" i="19"/>
  <c r="J132" i="19"/>
  <c r="J135" i="19"/>
  <c r="AK92" i="1"/>
  <c r="J137" i="19"/>
  <c r="J131" i="19"/>
  <c r="J138" i="19"/>
  <c r="J140" i="19" s="1"/>
  <c r="J120" i="19"/>
  <c r="J128" i="19"/>
  <c r="J122" i="19"/>
  <c r="J119" i="19"/>
  <c r="J127" i="19"/>
  <c r="J136" i="19"/>
  <c r="J76" i="19"/>
  <c r="J88" i="19"/>
  <c r="J87" i="19"/>
  <c r="J83" i="19"/>
  <c r="J86" i="19"/>
  <c r="J85" i="19"/>
  <c r="J79" i="19"/>
  <c r="J80" i="19"/>
  <c r="J78" i="19"/>
  <c r="J75" i="19"/>
  <c r="J77" i="19"/>
  <c r="J126" i="19"/>
  <c r="J125" i="19"/>
  <c r="J81" i="19"/>
  <c r="AK16" i="1"/>
  <c r="J84" i="19"/>
  <c r="J73" i="19"/>
  <c r="J82" i="19"/>
  <c r="J74" i="19"/>
  <c r="K84" i="1"/>
  <c r="G118" i="19" s="1"/>
  <c r="J69" i="19"/>
  <c r="J68" i="19"/>
  <c r="J67" i="19"/>
  <c r="G84" i="19"/>
  <c r="J7" i="19"/>
  <c r="AK15" i="1"/>
  <c r="J6" i="19"/>
  <c r="K37" i="1"/>
  <c r="G36" i="19" s="1"/>
  <c r="J9" i="19"/>
  <c r="J21" i="19"/>
  <c r="J10" i="19"/>
  <c r="J20" i="19"/>
  <c r="J19" i="19"/>
  <c r="J18" i="19"/>
  <c r="J17" i="19"/>
  <c r="J16" i="19"/>
  <c r="J15" i="19"/>
  <c r="D8" i="17"/>
  <c r="G14" i="17" s="1"/>
  <c r="G19" i="17" s="1"/>
  <c r="J14" i="19"/>
  <c r="J13" i="19"/>
  <c r="J12" i="19"/>
  <c r="G10" i="19"/>
  <c r="G19" i="19"/>
  <c r="G8" i="19"/>
  <c r="G17" i="19"/>
  <c r="G15" i="19"/>
  <c r="G20" i="19"/>
  <c r="G12" i="19"/>
  <c r="G21" i="19"/>
  <c r="G18" i="19"/>
  <c r="G14" i="19"/>
  <c r="G16" i="19"/>
  <c r="G9" i="19"/>
  <c r="G13" i="19"/>
  <c r="J8" i="19"/>
  <c r="J150" i="19" l="1"/>
  <c r="J50" i="19"/>
  <c r="G85" i="19"/>
  <c r="L85" i="19" s="1"/>
  <c r="J112" i="19"/>
  <c r="G88" i="19"/>
  <c r="L88" i="19" s="1"/>
  <c r="G82" i="19"/>
  <c r="M82" i="19" s="1"/>
  <c r="G73" i="19"/>
  <c r="M73" i="19" s="1"/>
  <c r="G81" i="19"/>
  <c r="M81" i="19" s="1"/>
  <c r="G76" i="19"/>
  <c r="M76" i="19" s="1"/>
  <c r="G77" i="19"/>
  <c r="L77" i="19" s="1"/>
  <c r="G78" i="19"/>
  <c r="L78" i="19" s="1"/>
  <c r="G74" i="19"/>
  <c r="M74" i="19" s="1"/>
  <c r="G86" i="19"/>
  <c r="M86" i="19" s="1"/>
  <c r="G80" i="19"/>
  <c r="L80" i="19" s="1"/>
  <c r="G83" i="19"/>
  <c r="G91" i="19" s="1"/>
  <c r="G79" i="19"/>
  <c r="L79" i="19" s="1"/>
  <c r="G75" i="19"/>
  <c r="L75" i="19" s="1"/>
  <c r="G65" i="19"/>
  <c r="L65" i="19" s="1"/>
  <c r="J113" i="19"/>
  <c r="G54" i="19"/>
  <c r="G58" i="19"/>
  <c r="M58" i="19" s="1"/>
  <c r="G62" i="19"/>
  <c r="L62" i="19" s="1"/>
  <c r="J114" i="19"/>
  <c r="G63" i="19"/>
  <c r="L63" i="19" s="1"/>
  <c r="G113" i="19"/>
  <c r="G59" i="19"/>
  <c r="L59" i="19" s="1"/>
  <c r="G56" i="19"/>
  <c r="L56" i="19" s="1"/>
  <c r="G60" i="19"/>
  <c r="M60" i="19" s="1"/>
  <c r="L11" i="19"/>
  <c r="M11" i="19"/>
  <c r="G64" i="19"/>
  <c r="L64" i="19" s="1"/>
  <c r="G114" i="19"/>
  <c r="L96" i="19"/>
  <c r="G112" i="19"/>
  <c r="G57" i="19"/>
  <c r="M57" i="19" s="1"/>
  <c r="G55" i="19"/>
  <c r="M55" i="19" s="1"/>
  <c r="M110" i="19"/>
  <c r="L110" i="19"/>
  <c r="L109" i="19"/>
  <c r="M109" i="19"/>
  <c r="M98" i="19"/>
  <c r="L98" i="19"/>
  <c r="L105" i="19"/>
  <c r="M105" i="19"/>
  <c r="M104" i="19"/>
  <c r="L104" i="19"/>
  <c r="M99" i="19"/>
  <c r="L99" i="19"/>
  <c r="M96" i="19"/>
  <c r="L97" i="19"/>
  <c r="M97" i="19"/>
  <c r="L108" i="19"/>
  <c r="M108" i="19"/>
  <c r="L103" i="19"/>
  <c r="M103" i="19"/>
  <c r="M102" i="19"/>
  <c r="L102" i="19"/>
  <c r="L106" i="19"/>
  <c r="M106" i="19"/>
  <c r="M100" i="19"/>
  <c r="L100" i="19"/>
  <c r="M107" i="19"/>
  <c r="L107" i="19"/>
  <c r="M101" i="19"/>
  <c r="L101" i="19"/>
  <c r="G146" i="19"/>
  <c r="L146" i="19" s="1"/>
  <c r="L152" i="19" s="1"/>
  <c r="G147" i="19"/>
  <c r="M147" i="19" s="1"/>
  <c r="G148" i="19"/>
  <c r="G151" i="19" s="1"/>
  <c r="G138" i="19"/>
  <c r="G140" i="19" s="1"/>
  <c r="G134" i="19"/>
  <c r="L134" i="19" s="1"/>
  <c r="G130" i="19"/>
  <c r="L130" i="19" s="1"/>
  <c r="G137" i="19"/>
  <c r="M137" i="19" s="1"/>
  <c r="G120" i="19"/>
  <c r="L120" i="19" s="1"/>
  <c r="G127" i="19"/>
  <c r="M127" i="19" s="1"/>
  <c r="G129" i="19"/>
  <c r="L129" i="19" s="1"/>
  <c r="G128" i="19"/>
  <c r="M128" i="19" s="1"/>
  <c r="G136" i="19"/>
  <c r="L136" i="19" s="1"/>
  <c r="G121" i="19"/>
  <c r="M121" i="19" s="1"/>
  <c r="G119" i="19"/>
  <c r="M119" i="19" s="1"/>
  <c r="L118" i="19"/>
  <c r="G133" i="19"/>
  <c r="M133" i="19" s="1"/>
  <c r="G135" i="19"/>
  <c r="M135" i="19" s="1"/>
  <c r="G123" i="19"/>
  <c r="L123" i="19" s="1"/>
  <c r="G125" i="19"/>
  <c r="M125" i="19" s="1"/>
  <c r="G132" i="19"/>
  <c r="M132" i="19" s="1"/>
  <c r="G124" i="19"/>
  <c r="L124" i="19" s="1"/>
  <c r="G131" i="19"/>
  <c r="M131" i="19" s="1"/>
  <c r="G122" i="19"/>
  <c r="J90" i="19"/>
  <c r="G126" i="19"/>
  <c r="M126" i="19" s="1"/>
  <c r="J142" i="19"/>
  <c r="L76" i="19"/>
  <c r="M88" i="19"/>
  <c r="M87" i="19"/>
  <c r="L87" i="19"/>
  <c r="J92" i="19"/>
  <c r="J91" i="19"/>
  <c r="G42" i="19"/>
  <c r="M42" i="19" s="1"/>
  <c r="G68" i="19"/>
  <c r="M84" i="19"/>
  <c r="L84" i="19"/>
  <c r="I14" i="17"/>
  <c r="G45" i="19"/>
  <c r="L45" i="19" s="1"/>
  <c r="G43" i="19"/>
  <c r="M43" i="19" s="1"/>
  <c r="G38" i="19"/>
  <c r="L38" i="19" s="1"/>
  <c r="G30" i="19"/>
  <c r="L30" i="19" s="1"/>
  <c r="G39" i="19"/>
  <c r="M39" i="19" s="1"/>
  <c r="G40" i="19"/>
  <c r="M40" i="19" s="1"/>
  <c r="G35" i="19"/>
  <c r="M35" i="19" s="1"/>
  <c r="G41" i="19"/>
  <c r="L41" i="19" s="1"/>
  <c r="G31" i="19"/>
  <c r="G48" i="19" s="1"/>
  <c r="G33" i="19"/>
  <c r="L33" i="19" s="1"/>
  <c r="L61" i="19"/>
  <c r="M61" i="19"/>
  <c r="G44" i="19"/>
  <c r="L44" i="19" s="1"/>
  <c r="G34" i="19"/>
  <c r="G46" i="19"/>
  <c r="L46" i="19" s="1"/>
  <c r="G29" i="19"/>
  <c r="G37" i="19"/>
  <c r="M37" i="19" s="1"/>
  <c r="G32" i="19"/>
  <c r="M32" i="19" s="1"/>
  <c r="M54" i="19"/>
  <c r="L54" i="19"/>
  <c r="L36" i="19"/>
  <c r="M36" i="19"/>
  <c r="J23" i="19"/>
  <c r="G23" i="19"/>
  <c r="J25" i="19"/>
  <c r="M6" i="19"/>
  <c r="G25" i="19"/>
  <c r="L19" i="19"/>
  <c r="M19" i="19"/>
  <c r="L16" i="19"/>
  <c r="M16" i="19"/>
  <c r="M14" i="19"/>
  <c r="M8" i="19"/>
  <c r="L10" i="19"/>
  <c r="M10" i="19"/>
  <c r="L7" i="19"/>
  <c r="M7" i="19"/>
  <c r="L18" i="19"/>
  <c r="M18" i="19"/>
  <c r="L9" i="19"/>
  <c r="M9" i="19"/>
  <c r="L21" i="19"/>
  <c r="M21" i="19"/>
  <c r="L12" i="19"/>
  <c r="M12" i="19"/>
  <c r="L15" i="19"/>
  <c r="M15" i="19"/>
  <c r="L17" i="19"/>
  <c r="M17" i="19"/>
  <c r="L13" i="19"/>
  <c r="M13" i="19"/>
  <c r="L20" i="19"/>
  <c r="M20" i="19"/>
  <c r="L14" i="19"/>
  <c r="L6" i="19"/>
  <c r="L8" i="19"/>
  <c r="G24" i="17"/>
  <c r="G21" i="17"/>
  <c r="G20" i="17"/>
  <c r="G23" i="17"/>
  <c r="G22" i="17"/>
  <c r="L55" i="19" l="1"/>
  <c r="L82" i="19"/>
  <c r="M85" i="19"/>
  <c r="G90" i="19"/>
  <c r="M63" i="19"/>
  <c r="L81" i="19"/>
  <c r="M83" i="19"/>
  <c r="M90" i="19" s="1"/>
  <c r="G92" i="19"/>
  <c r="M56" i="19"/>
  <c r="N56" i="19" s="1"/>
  <c r="L73" i="19"/>
  <c r="N73" i="19" s="1"/>
  <c r="G67" i="19"/>
  <c r="M62" i="19"/>
  <c r="N62" i="19" s="1"/>
  <c r="M77" i="19"/>
  <c r="N77" i="19" s="1"/>
  <c r="L58" i="19"/>
  <c r="L67" i="19" s="1"/>
  <c r="L74" i="19"/>
  <c r="L83" i="19"/>
  <c r="L113" i="19"/>
  <c r="M65" i="19"/>
  <c r="N65" i="19" s="1"/>
  <c r="M78" i="19"/>
  <c r="N78" i="19" s="1"/>
  <c r="P78" i="19" s="1"/>
  <c r="M75" i="19"/>
  <c r="L86" i="19"/>
  <c r="N86" i="19" s="1"/>
  <c r="P86" i="19" s="1"/>
  <c r="M80" i="19"/>
  <c r="N80" i="19" s="1"/>
  <c r="O80" i="19" s="1"/>
  <c r="M79" i="19"/>
  <c r="N79" i="19" s="1"/>
  <c r="O79" i="19" s="1"/>
  <c r="M59" i="19"/>
  <c r="N59" i="19" s="1"/>
  <c r="G69" i="19"/>
  <c r="M113" i="19"/>
  <c r="L60" i="19"/>
  <c r="N60" i="19" s="1"/>
  <c r="N100" i="19"/>
  <c r="R100" i="19" s="1"/>
  <c r="N11" i="19"/>
  <c r="M64" i="19"/>
  <c r="N64" i="19" s="1"/>
  <c r="L57" i="19"/>
  <c r="N57" i="19" s="1"/>
  <c r="N99" i="19"/>
  <c r="S99" i="19" s="1"/>
  <c r="N110" i="19"/>
  <c r="Q110" i="19" s="1"/>
  <c r="N107" i="19"/>
  <c r="Q107" i="19" s="1"/>
  <c r="N101" i="19"/>
  <c r="R101" i="19" s="1"/>
  <c r="L112" i="19"/>
  <c r="M112" i="19"/>
  <c r="M114" i="19"/>
  <c r="N104" i="19"/>
  <c r="R104" i="19" s="1"/>
  <c r="N102" i="19"/>
  <c r="S102" i="19" s="1"/>
  <c r="N103" i="19"/>
  <c r="P103" i="19" s="1"/>
  <c r="N97" i="19"/>
  <c r="P97" i="19" s="1"/>
  <c r="N106" i="19"/>
  <c r="Q106" i="19" s="1"/>
  <c r="N105" i="19"/>
  <c r="P105" i="19" s="1"/>
  <c r="N98" i="19"/>
  <c r="Q98" i="19" s="1"/>
  <c r="L114" i="19"/>
  <c r="N108" i="19"/>
  <c r="P108" i="19" s="1"/>
  <c r="N109" i="19"/>
  <c r="R109" i="19" s="1"/>
  <c r="N96" i="19"/>
  <c r="L147" i="19"/>
  <c r="G150" i="19"/>
  <c r="G152" i="19"/>
  <c r="M146" i="19"/>
  <c r="M152" i="19" s="1"/>
  <c r="L138" i="19"/>
  <c r="L140" i="19" s="1"/>
  <c r="M148" i="19"/>
  <c r="M151" i="19" s="1"/>
  <c r="L148" i="19"/>
  <c r="L151" i="19" s="1"/>
  <c r="M138" i="19"/>
  <c r="M140" i="19" s="1"/>
  <c r="L132" i="19"/>
  <c r="N132" i="19" s="1"/>
  <c r="S132" i="19" s="1"/>
  <c r="L135" i="19"/>
  <c r="N135" i="19" s="1"/>
  <c r="Q135" i="19" s="1"/>
  <c r="L121" i="19"/>
  <c r="N121" i="19" s="1"/>
  <c r="S121" i="19" s="1"/>
  <c r="L119" i="19"/>
  <c r="N119" i="19" s="1"/>
  <c r="S119" i="19" s="1"/>
  <c r="M136" i="19"/>
  <c r="N136" i="19" s="1"/>
  <c r="P136" i="19" s="1"/>
  <c r="M129" i="19"/>
  <c r="N129" i="19" s="1"/>
  <c r="S129" i="19" s="1"/>
  <c r="M130" i="19"/>
  <c r="N130" i="19" s="1"/>
  <c r="P130" i="19" s="1"/>
  <c r="M134" i="19"/>
  <c r="N134" i="19" s="1"/>
  <c r="R134" i="19" s="1"/>
  <c r="M120" i="19"/>
  <c r="N120" i="19" s="1"/>
  <c r="S120" i="19" s="1"/>
  <c r="L127" i="19"/>
  <c r="N127" i="19" s="1"/>
  <c r="P127" i="19" s="1"/>
  <c r="L128" i="19"/>
  <c r="N128" i="19" s="1"/>
  <c r="S128" i="19" s="1"/>
  <c r="L137" i="19"/>
  <c r="N137" i="19" s="1"/>
  <c r="R137" i="19" s="1"/>
  <c r="L133" i="19"/>
  <c r="N133" i="19" s="1"/>
  <c r="R133" i="19" s="1"/>
  <c r="L125" i="19"/>
  <c r="N125" i="19" s="1"/>
  <c r="P125" i="19" s="1"/>
  <c r="M118" i="19"/>
  <c r="N118" i="19" s="1"/>
  <c r="Q118" i="19" s="1"/>
  <c r="M123" i="19"/>
  <c r="N123" i="19" s="1"/>
  <c r="P123" i="19" s="1"/>
  <c r="M124" i="19"/>
  <c r="N124" i="19" s="1"/>
  <c r="O124" i="19" s="1"/>
  <c r="L131" i="19"/>
  <c r="N131" i="19" s="1"/>
  <c r="O131" i="19" s="1"/>
  <c r="G142" i="19"/>
  <c r="L126" i="19"/>
  <c r="N126" i="19" s="1"/>
  <c r="M122" i="19"/>
  <c r="L122" i="19"/>
  <c r="N88" i="19"/>
  <c r="R88" i="19" s="1"/>
  <c r="N76" i="19"/>
  <c r="S76" i="19" s="1"/>
  <c r="N85" i="19"/>
  <c r="P85" i="19" s="1"/>
  <c r="N87" i="19"/>
  <c r="S87" i="19" s="1"/>
  <c r="M91" i="19"/>
  <c r="L42" i="19"/>
  <c r="N42" i="19" s="1"/>
  <c r="L68" i="19"/>
  <c r="L29" i="19"/>
  <c r="G50" i="19"/>
  <c r="M67" i="19"/>
  <c r="M68" i="19"/>
  <c r="L40" i="19"/>
  <c r="N40" i="19" s="1"/>
  <c r="N82" i="19"/>
  <c r="M45" i="19"/>
  <c r="N45" i="19" s="1"/>
  <c r="M38" i="19"/>
  <c r="N38" i="19" s="1"/>
  <c r="N63" i="19"/>
  <c r="N84" i="19"/>
  <c r="L31" i="19"/>
  <c r="L48" i="19" s="1"/>
  <c r="L39" i="19"/>
  <c r="N39" i="19" s="1"/>
  <c r="L43" i="19"/>
  <c r="N43" i="19" s="1"/>
  <c r="M33" i="19"/>
  <c r="N33" i="19" s="1"/>
  <c r="L32" i="19"/>
  <c r="N32" i="19" s="1"/>
  <c r="M30" i="19"/>
  <c r="N30" i="19" s="1"/>
  <c r="M41" i="19"/>
  <c r="N41" i="19" s="1"/>
  <c r="L37" i="19"/>
  <c r="N37" i="19" s="1"/>
  <c r="M31" i="19"/>
  <c r="M48" i="19" s="1"/>
  <c r="N61" i="19"/>
  <c r="M29" i="19"/>
  <c r="L35" i="19"/>
  <c r="N35" i="19" s="1"/>
  <c r="M44" i="19"/>
  <c r="N44" i="19" s="1"/>
  <c r="M34" i="19"/>
  <c r="L34" i="19"/>
  <c r="M46" i="19"/>
  <c r="N46" i="19" s="1"/>
  <c r="N55" i="19"/>
  <c r="N54" i="19"/>
  <c r="N36" i="19"/>
  <c r="N13" i="19"/>
  <c r="N15" i="19"/>
  <c r="L23" i="19"/>
  <c r="M23" i="19"/>
  <c r="N12" i="19"/>
  <c r="L25" i="19"/>
  <c r="N10" i="19"/>
  <c r="N21" i="19"/>
  <c r="M25" i="19"/>
  <c r="N9" i="19"/>
  <c r="N20" i="19"/>
  <c r="N16" i="19"/>
  <c r="N7" i="19"/>
  <c r="N17" i="19"/>
  <c r="N18" i="19"/>
  <c r="N8" i="19"/>
  <c r="N14" i="19"/>
  <c r="N19" i="19"/>
  <c r="N6" i="19"/>
  <c r="D23" i="17"/>
  <c r="D24" i="17"/>
  <c r="D21" i="17"/>
  <c r="D22" i="17"/>
  <c r="D19" i="17"/>
  <c r="D20" i="17"/>
  <c r="J14" i="17"/>
  <c r="S100" i="19" l="1"/>
  <c r="N58" i="19"/>
  <c r="R58" i="19" s="1"/>
  <c r="L150" i="19"/>
  <c r="M150" i="19"/>
  <c r="L90" i="19"/>
  <c r="N81" i="19"/>
  <c r="R81" i="19" s="1"/>
  <c r="P106" i="19"/>
  <c r="S107" i="19"/>
  <c r="M92" i="19"/>
  <c r="O107" i="19"/>
  <c r="L92" i="19"/>
  <c r="P107" i="19"/>
  <c r="N83" i="19"/>
  <c r="R83" i="19" s="1"/>
  <c r="M69" i="19"/>
  <c r="R107" i="19"/>
  <c r="N74" i="19"/>
  <c r="Q74" i="19" s="1"/>
  <c r="L91" i="19"/>
  <c r="R106" i="19"/>
  <c r="N75" i="19"/>
  <c r="O75" i="19" s="1"/>
  <c r="L69" i="19"/>
  <c r="S106" i="19"/>
  <c r="P110" i="19"/>
  <c r="Q100" i="19"/>
  <c r="O100" i="19"/>
  <c r="O110" i="19"/>
  <c r="S110" i="19"/>
  <c r="P100" i="19"/>
  <c r="R110" i="19"/>
  <c r="N112" i="19"/>
  <c r="O102" i="19"/>
  <c r="S104" i="19"/>
  <c r="Q102" i="19"/>
  <c r="P104" i="19"/>
  <c r="Q104" i="19"/>
  <c r="R99" i="19"/>
  <c r="O101" i="19"/>
  <c r="R97" i="19"/>
  <c r="P102" i="19"/>
  <c r="S101" i="19"/>
  <c r="O99" i="19"/>
  <c r="Q101" i="19"/>
  <c r="Q97" i="19"/>
  <c r="Q99" i="19"/>
  <c r="P101" i="19"/>
  <c r="P99" i="19"/>
  <c r="O104" i="19"/>
  <c r="N113" i="19"/>
  <c r="S113" i="19" s="1"/>
  <c r="R102" i="19"/>
  <c r="S97" i="19"/>
  <c r="O97" i="19"/>
  <c r="R103" i="19"/>
  <c r="O103" i="19"/>
  <c r="O98" i="19"/>
  <c r="R98" i="19"/>
  <c r="S98" i="19"/>
  <c r="S103" i="19"/>
  <c r="O106" i="19"/>
  <c r="Q103" i="19"/>
  <c r="P98" i="19"/>
  <c r="S105" i="19"/>
  <c r="O105" i="19"/>
  <c r="Q105" i="19"/>
  <c r="S108" i="19"/>
  <c r="R105" i="19"/>
  <c r="R108" i="19"/>
  <c r="Q108" i="19"/>
  <c r="O108" i="19"/>
  <c r="O109" i="19"/>
  <c r="Q109" i="19"/>
  <c r="N114" i="19"/>
  <c r="S114" i="19" s="1"/>
  <c r="P109" i="19"/>
  <c r="S109" i="19"/>
  <c r="R96" i="19"/>
  <c r="Q96" i="19"/>
  <c r="O96" i="19"/>
  <c r="P96" i="19"/>
  <c r="S96" i="19"/>
  <c r="N146" i="19"/>
  <c r="P146" i="19" s="1"/>
  <c r="N147" i="19"/>
  <c r="Q147" i="19" s="1"/>
  <c r="R11" i="19"/>
  <c r="S11" i="19"/>
  <c r="P11" i="19"/>
  <c r="Q11" i="19"/>
  <c r="O11" i="19"/>
  <c r="N148" i="19"/>
  <c r="Q148" i="19" s="1"/>
  <c r="N138" i="19"/>
  <c r="N140" i="19" s="1"/>
  <c r="P140" i="19" s="1"/>
  <c r="Q88" i="19"/>
  <c r="O129" i="19"/>
  <c r="L142" i="19"/>
  <c r="N122" i="19"/>
  <c r="Q122" i="19" s="1"/>
  <c r="M142" i="19"/>
  <c r="P88" i="19"/>
  <c r="S88" i="19"/>
  <c r="O88" i="19"/>
  <c r="R87" i="19"/>
  <c r="Q87" i="19"/>
  <c r="Q129" i="19"/>
  <c r="P87" i="19"/>
  <c r="O87" i="19"/>
  <c r="P129" i="19"/>
  <c r="Q86" i="19"/>
  <c r="O86" i="19"/>
  <c r="S86" i="19"/>
  <c r="R86" i="19"/>
  <c r="O85" i="19"/>
  <c r="S85" i="19"/>
  <c r="R76" i="19"/>
  <c r="Q76" i="19"/>
  <c r="P76" i="19"/>
  <c r="O76" i="19"/>
  <c r="S80" i="19"/>
  <c r="Q80" i="19"/>
  <c r="R80" i="19"/>
  <c r="S79" i="19"/>
  <c r="R79" i="19"/>
  <c r="O78" i="19"/>
  <c r="Q79" i="19"/>
  <c r="R85" i="19"/>
  <c r="Q85" i="19"/>
  <c r="P80" i="19"/>
  <c r="P79" i="19"/>
  <c r="S78" i="19"/>
  <c r="R78" i="19"/>
  <c r="Q78" i="19"/>
  <c r="R132" i="19"/>
  <c r="P132" i="19"/>
  <c r="Q132" i="19"/>
  <c r="S135" i="19"/>
  <c r="R129" i="19"/>
  <c r="O77" i="19"/>
  <c r="P77" i="19"/>
  <c r="Q77" i="19"/>
  <c r="R77" i="19"/>
  <c r="S77" i="19"/>
  <c r="O132" i="19"/>
  <c r="Q125" i="19"/>
  <c r="O128" i="19"/>
  <c r="P128" i="19"/>
  <c r="R135" i="19"/>
  <c r="R136" i="19"/>
  <c r="P135" i="19"/>
  <c r="O135" i="19"/>
  <c r="Q128" i="19"/>
  <c r="O123" i="19"/>
  <c r="R128" i="19"/>
  <c r="R125" i="19"/>
  <c r="O125" i="19"/>
  <c r="S125" i="19"/>
  <c r="S123" i="19"/>
  <c r="O133" i="19"/>
  <c r="Q133" i="19"/>
  <c r="P133" i="19"/>
  <c r="S133" i="19"/>
  <c r="O118" i="19"/>
  <c r="P120" i="19"/>
  <c r="R120" i="19"/>
  <c r="Q120" i="19"/>
  <c r="O127" i="19"/>
  <c r="Q127" i="19"/>
  <c r="R127" i="19"/>
  <c r="S127" i="19"/>
  <c r="O137" i="19"/>
  <c r="Q137" i="19"/>
  <c r="Q131" i="19"/>
  <c r="P131" i="19"/>
  <c r="Q136" i="19"/>
  <c r="O136" i="19"/>
  <c r="Q123" i="19"/>
  <c r="R131" i="19"/>
  <c r="R118" i="19"/>
  <c r="S118" i="19"/>
  <c r="S131" i="19"/>
  <c r="S136" i="19"/>
  <c r="R123" i="19"/>
  <c r="P118" i="19"/>
  <c r="P137" i="19"/>
  <c r="S137" i="19"/>
  <c r="O120" i="19"/>
  <c r="Q119" i="19"/>
  <c r="P124" i="19"/>
  <c r="P119" i="19"/>
  <c r="R124" i="19"/>
  <c r="O119" i="19"/>
  <c r="Q124" i="19"/>
  <c r="R119" i="19"/>
  <c r="S124" i="19"/>
  <c r="O134" i="19"/>
  <c r="Q134" i="19"/>
  <c r="P134" i="19"/>
  <c r="S134" i="19"/>
  <c r="Q130" i="19"/>
  <c r="O130" i="19"/>
  <c r="R121" i="19"/>
  <c r="S130" i="19"/>
  <c r="Q121" i="19"/>
  <c r="P121" i="19"/>
  <c r="O121" i="19"/>
  <c r="R130" i="19"/>
  <c r="S126" i="19"/>
  <c r="O126" i="19"/>
  <c r="P126" i="19"/>
  <c r="Q126" i="19"/>
  <c r="R126" i="19"/>
  <c r="O54" i="19"/>
  <c r="P54" i="19"/>
  <c r="Q54" i="19"/>
  <c r="R54" i="19"/>
  <c r="S54" i="19"/>
  <c r="O12" i="19"/>
  <c r="P12" i="19"/>
  <c r="S12" i="19"/>
  <c r="Q12" i="19"/>
  <c r="R12" i="19"/>
  <c r="O19" i="19"/>
  <c r="P19" i="19"/>
  <c r="Q19" i="19"/>
  <c r="R19" i="19"/>
  <c r="S19" i="19"/>
  <c r="Q15" i="19"/>
  <c r="O15" i="19"/>
  <c r="P15" i="19"/>
  <c r="R15" i="19"/>
  <c r="S15" i="19"/>
  <c r="S38" i="19"/>
  <c r="R38" i="19"/>
  <c r="Q38" i="19"/>
  <c r="P38" i="19"/>
  <c r="O38" i="19"/>
  <c r="S44" i="19"/>
  <c r="R44" i="19"/>
  <c r="Q44" i="19"/>
  <c r="P44" i="19"/>
  <c r="O44" i="19"/>
  <c r="O56" i="19"/>
  <c r="P56" i="19"/>
  <c r="Q56" i="19"/>
  <c r="S56" i="19"/>
  <c r="R56" i="19"/>
  <c r="R35" i="19"/>
  <c r="Q35" i="19"/>
  <c r="P35" i="19"/>
  <c r="O35" i="19"/>
  <c r="S35" i="19"/>
  <c r="P63" i="19"/>
  <c r="Q63" i="19"/>
  <c r="O63" i="19"/>
  <c r="R63" i="19"/>
  <c r="S63" i="19"/>
  <c r="O13" i="19"/>
  <c r="P13" i="19"/>
  <c r="Q13" i="19"/>
  <c r="R13" i="19"/>
  <c r="S13" i="19"/>
  <c r="O18" i="19"/>
  <c r="P18" i="19"/>
  <c r="Q18" i="19"/>
  <c r="R18" i="19"/>
  <c r="S18" i="19"/>
  <c r="R36" i="19"/>
  <c r="Q36" i="19"/>
  <c r="P36" i="19"/>
  <c r="O36" i="19"/>
  <c r="S36" i="19"/>
  <c r="S30" i="19"/>
  <c r="R30" i="19"/>
  <c r="Q30" i="19"/>
  <c r="O30" i="19"/>
  <c r="P30" i="19"/>
  <c r="O82" i="19"/>
  <c r="P82" i="19"/>
  <c r="Q82" i="19"/>
  <c r="R82" i="19"/>
  <c r="S82" i="19"/>
  <c r="Q84" i="19"/>
  <c r="R84" i="19"/>
  <c r="S84" i="19"/>
  <c r="O84" i="19"/>
  <c r="P84" i="19"/>
  <c r="O45" i="19"/>
  <c r="R45" i="19"/>
  <c r="S45" i="19"/>
  <c r="Q45" i="19"/>
  <c r="P45" i="19"/>
  <c r="P7" i="19"/>
  <c r="Q7" i="19"/>
  <c r="R7" i="19"/>
  <c r="S7" i="19"/>
  <c r="O7" i="19"/>
  <c r="O55" i="19"/>
  <c r="P55" i="19"/>
  <c r="Q55" i="19"/>
  <c r="R55" i="19"/>
  <c r="S55" i="19"/>
  <c r="Q33" i="19"/>
  <c r="P33" i="19"/>
  <c r="O33" i="19"/>
  <c r="S33" i="19"/>
  <c r="R33" i="19"/>
  <c r="S40" i="19"/>
  <c r="Q40" i="19"/>
  <c r="R40" i="19"/>
  <c r="P40" i="19"/>
  <c r="O40" i="19"/>
  <c r="O10" i="19"/>
  <c r="P10" i="19"/>
  <c r="Q10" i="19"/>
  <c r="R10" i="19"/>
  <c r="S10" i="19"/>
  <c r="Q61" i="19"/>
  <c r="R61" i="19"/>
  <c r="S61" i="19"/>
  <c r="O61" i="19"/>
  <c r="P61" i="19"/>
  <c r="O60" i="19"/>
  <c r="P60" i="19"/>
  <c r="Q60" i="19"/>
  <c r="R60" i="19"/>
  <c r="S60" i="19"/>
  <c r="P17" i="19"/>
  <c r="Q17" i="19"/>
  <c r="R17" i="19"/>
  <c r="S17" i="19"/>
  <c r="O17" i="19"/>
  <c r="S43" i="19"/>
  <c r="Q43" i="19"/>
  <c r="R43" i="19"/>
  <c r="P43" i="19"/>
  <c r="O43" i="19"/>
  <c r="S41" i="19"/>
  <c r="R41" i="19"/>
  <c r="Q41" i="19"/>
  <c r="P41" i="19"/>
  <c r="O41" i="19"/>
  <c r="O20" i="19"/>
  <c r="P20" i="19"/>
  <c r="Q20" i="19"/>
  <c r="R20" i="19"/>
  <c r="S20" i="19"/>
  <c r="Q6" i="19"/>
  <c r="S6" i="19"/>
  <c r="R6" i="19"/>
  <c r="O6" i="19"/>
  <c r="P6" i="19"/>
  <c r="O14" i="19"/>
  <c r="Q14" i="19"/>
  <c r="P14" i="19"/>
  <c r="S14" i="19"/>
  <c r="R14" i="19"/>
  <c r="O8" i="19"/>
  <c r="P8" i="19"/>
  <c r="Q8" i="19"/>
  <c r="R8" i="19"/>
  <c r="S8" i="19"/>
  <c r="O57" i="19"/>
  <c r="P57" i="19"/>
  <c r="Q57" i="19"/>
  <c r="R57" i="19"/>
  <c r="S57" i="19"/>
  <c r="S46" i="19"/>
  <c r="R46" i="19"/>
  <c r="O46" i="19"/>
  <c r="Q46" i="19"/>
  <c r="P46" i="19"/>
  <c r="O59" i="19"/>
  <c r="P59" i="19"/>
  <c r="Q59" i="19"/>
  <c r="R59" i="19"/>
  <c r="S59" i="19"/>
  <c r="R64" i="19"/>
  <c r="S64" i="19"/>
  <c r="O64" i="19"/>
  <c r="P64" i="19"/>
  <c r="Q64" i="19"/>
  <c r="S42" i="19"/>
  <c r="R42" i="19"/>
  <c r="Q42" i="19"/>
  <c r="P42" i="19"/>
  <c r="O42" i="19"/>
  <c r="S37" i="19"/>
  <c r="O37" i="19"/>
  <c r="R37" i="19"/>
  <c r="Q37" i="19"/>
  <c r="P37" i="19"/>
  <c r="P32" i="19"/>
  <c r="O32" i="19"/>
  <c r="S32" i="19"/>
  <c r="R32" i="19"/>
  <c r="Q32" i="19"/>
  <c r="O65" i="19"/>
  <c r="P65" i="19"/>
  <c r="Q65" i="19"/>
  <c r="R65" i="19"/>
  <c r="S65" i="19"/>
  <c r="P73" i="19"/>
  <c r="Q73" i="19"/>
  <c r="R73" i="19"/>
  <c r="S73" i="19"/>
  <c r="O73" i="19"/>
  <c r="O16" i="19"/>
  <c r="Q16" i="19"/>
  <c r="R16" i="19"/>
  <c r="P16" i="19"/>
  <c r="S16" i="19"/>
  <c r="S58" i="19"/>
  <c r="O58" i="19"/>
  <c r="O62" i="19"/>
  <c r="P62" i="19"/>
  <c r="Q62" i="19"/>
  <c r="R62" i="19"/>
  <c r="S62" i="19"/>
  <c r="O9" i="19"/>
  <c r="P9" i="19"/>
  <c r="Q9" i="19"/>
  <c r="R9" i="19"/>
  <c r="S9" i="19"/>
  <c r="S21" i="19"/>
  <c r="O21" i="19"/>
  <c r="P21" i="19"/>
  <c r="Q21" i="19"/>
  <c r="R21" i="19"/>
  <c r="S39" i="19"/>
  <c r="R39" i="19"/>
  <c r="Q39" i="19"/>
  <c r="O39" i="19"/>
  <c r="P39" i="19"/>
  <c r="N29" i="19"/>
  <c r="M50" i="19"/>
  <c r="N69" i="19"/>
  <c r="L50" i="19"/>
  <c r="N68" i="19"/>
  <c r="N31" i="19"/>
  <c r="N34" i="19"/>
  <c r="K14" i="17"/>
  <c r="N25" i="19"/>
  <c r="N23" i="19"/>
  <c r="J24" i="17"/>
  <c r="J21" i="17"/>
  <c r="J22" i="17"/>
  <c r="J19" i="17"/>
  <c r="J20" i="17"/>
  <c r="J23" i="17"/>
  <c r="I21" i="17"/>
  <c r="I24" i="17"/>
  <c r="I22" i="17"/>
  <c r="I19" i="17"/>
  <c r="I20" i="17"/>
  <c r="I23" i="17"/>
  <c r="P81" i="19" l="1"/>
  <c r="S81" i="19"/>
  <c r="O81" i="19"/>
  <c r="S83" i="19"/>
  <c r="Q58" i="19"/>
  <c r="P58" i="19"/>
  <c r="N67" i="19"/>
  <c r="R67" i="19" s="1"/>
  <c r="Q81" i="19"/>
  <c r="N90" i="19"/>
  <c r="P90" i="19" s="1"/>
  <c r="Q75" i="19"/>
  <c r="Q83" i="19"/>
  <c r="R75" i="19"/>
  <c r="P75" i="19"/>
  <c r="R74" i="19"/>
  <c r="P74" i="19"/>
  <c r="O74" i="19"/>
  <c r="N92" i="19"/>
  <c r="S92" i="19" s="1"/>
  <c r="N91" i="19"/>
  <c r="O91" i="19" s="1"/>
  <c r="S74" i="19"/>
  <c r="O83" i="19"/>
  <c r="P83" i="19"/>
  <c r="S75" i="19"/>
  <c r="P113" i="19"/>
  <c r="Q146" i="19"/>
  <c r="O113" i="19"/>
  <c r="R146" i="19"/>
  <c r="R113" i="19"/>
  <c r="N152" i="19"/>
  <c r="S152" i="19" s="1"/>
  <c r="Q113" i="19"/>
  <c r="S146" i="19"/>
  <c r="O114" i="19"/>
  <c r="R114" i="19"/>
  <c r="P114" i="19"/>
  <c r="Q114" i="19"/>
  <c r="O112" i="19"/>
  <c r="S112" i="19"/>
  <c r="P112" i="19"/>
  <c r="Q112" i="19"/>
  <c r="R112" i="19"/>
  <c r="O146" i="19"/>
  <c r="O147" i="19"/>
  <c r="R147" i="19"/>
  <c r="S147" i="19"/>
  <c r="P147" i="19"/>
  <c r="N150" i="19"/>
  <c r="Q150" i="19" s="1"/>
  <c r="Q138" i="19"/>
  <c r="P138" i="19"/>
  <c r="O140" i="19"/>
  <c r="Q140" i="19"/>
  <c r="R140" i="19"/>
  <c r="S140" i="19"/>
  <c r="N142" i="19"/>
  <c r="S142" i="19" s="1"/>
  <c r="R122" i="19"/>
  <c r="P122" i="19"/>
  <c r="O138" i="19"/>
  <c r="S138" i="19"/>
  <c r="R138" i="19"/>
  <c r="S122" i="19"/>
  <c r="S148" i="19"/>
  <c r="O148" i="19"/>
  <c r="R148" i="19"/>
  <c r="N151" i="19"/>
  <c r="R151" i="19" s="1"/>
  <c r="P148" i="19"/>
  <c r="O122" i="19"/>
  <c r="N48" i="19"/>
  <c r="P31" i="19"/>
  <c r="O31" i="19"/>
  <c r="S31" i="19"/>
  <c r="R31" i="19"/>
  <c r="Q31" i="19"/>
  <c r="P34" i="19"/>
  <c r="O34" i="19"/>
  <c r="Q34" i="19"/>
  <c r="S34" i="19"/>
  <c r="R34" i="19"/>
  <c r="O25" i="19"/>
  <c r="P25" i="19"/>
  <c r="Q25" i="19"/>
  <c r="R25" i="19"/>
  <c r="S25" i="19"/>
  <c r="R69" i="19"/>
  <c r="Q69" i="19"/>
  <c r="P69" i="19"/>
  <c r="O69" i="19"/>
  <c r="S69" i="19"/>
  <c r="P68" i="19"/>
  <c r="O68" i="19"/>
  <c r="S68" i="19"/>
  <c r="R68" i="19"/>
  <c r="Q68" i="19"/>
  <c r="O29" i="19"/>
  <c r="S29" i="19"/>
  <c r="R29" i="19"/>
  <c r="Q29" i="19"/>
  <c r="P29" i="19"/>
  <c r="S67" i="19"/>
  <c r="S23" i="19"/>
  <c r="R23" i="19"/>
  <c r="Q23" i="19"/>
  <c r="P23" i="19"/>
  <c r="O23" i="19"/>
  <c r="N50" i="19"/>
  <c r="K24" i="17"/>
  <c r="K21" i="17"/>
  <c r="K22" i="17"/>
  <c r="K19" i="17"/>
  <c r="K20" i="17"/>
  <c r="K23" i="17"/>
  <c r="P67" i="19" l="1"/>
  <c r="O67" i="19"/>
  <c r="Q67" i="19"/>
  <c r="S90" i="19"/>
  <c r="O90" i="19"/>
  <c r="Q90" i="19"/>
  <c r="R90" i="19"/>
  <c r="Q152" i="19"/>
  <c r="O152" i="19"/>
  <c r="R91" i="19"/>
  <c r="S91" i="19"/>
  <c r="P91" i="19"/>
  <c r="Q91" i="19"/>
  <c r="O92" i="19"/>
  <c r="P92" i="19"/>
  <c r="Q92" i="19"/>
  <c r="R92" i="19"/>
  <c r="P152" i="19"/>
  <c r="R152" i="19"/>
  <c r="S150" i="19"/>
  <c r="R150" i="19"/>
  <c r="O150" i="19"/>
  <c r="P150" i="19"/>
  <c r="Q142" i="19"/>
  <c r="P142" i="19"/>
  <c r="O142" i="19"/>
  <c r="R142" i="19"/>
  <c r="O151" i="19"/>
  <c r="P151" i="19"/>
  <c r="S151" i="19"/>
  <c r="Q151" i="19"/>
  <c r="R50" i="19"/>
  <c r="Q50" i="19"/>
  <c r="P50" i="19"/>
  <c r="O50" i="19"/>
  <c r="S50" i="19"/>
  <c r="S48" i="19"/>
  <c r="R48" i="19"/>
  <c r="Q48" i="19"/>
  <c r="P48" i="19"/>
  <c r="O4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tc={B8B628AF-938A-440C-84F0-17431E1EB47C}</author>
    <author>tc={5174C14D-6BDC-464A-97B7-4586CB2DF89C}</author>
    <author>tc={B694D83D-B1BF-4638-A6D5-53B134A42675}</author>
    <author>tc={344A8D64-9B30-47F8-9BC0-08319C97A0AC}</author>
    <author>tc={E31C6938-3D6A-4DFE-BDC6-F14E9BA35127}</author>
    <author>tc={00E815AC-4AAF-4F95-ABB8-BD5D003184CF}</author>
    <author>tc={72BE23D2-5D66-450E-9648-6DCC557E7E15}</author>
  </authors>
  <commentList>
    <comment ref="F5" authorId="0" shapeId="0" xr:uid="{B8B628AF-938A-440C-84F0-17431E1EB47C}">
      <text>
        <t>[Threaded comment]
Your version of Excel allows you to read this threaded comment; however, any edits to it will get removed if the file is opened in a newer version of Excel. Learn more: https://go.microsoft.com/fwlink/?linkid=870924
Comment:
    Solely based on % Prism estimates - Not based on survey volumes</t>
      </text>
    </comment>
    <comment ref="F28" authorId="1" shapeId="0" xr:uid="{5174C14D-6BDC-464A-97B7-4586CB2DF89C}">
      <text>
        <t>[Threaded comment]
Your version of Excel allows you to read this threaded comment; however, any edits to it will get removed if the file is opened in a newer version of Excel. Learn more: https://go.microsoft.com/fwlink/?linkid=870924
Comment:
    Solely based on % Prism estimates - Not based on survey volumes</t>
      </text>
    </comment>
    <comment ref="F53" authorId="2" shapeId="0" xr:uid="{B694D83D-B1BF-4638-A6D5-53B134A42675}">
      <text>
        <t>[Threaded comment]
Your version of Excel allows you to read this threaded comment; however, any edits to it will get removed if the file is opened in a newer version of Excel. Learn more: https://go.microsoft.com/fwlink/?linkid=870924
Comment:
    Solely based on % Prism estimates - Not based on survey volumes</t>
      </text>
    </comment>
    <comment ref="F72" authorId="3" shapeId="0" xr:uid="{344A8D64-9B30-47F8-9BC0-08319C97A0AC}">
      <text>
        <t>[Threaded comment]
Your version of Excel allows you to read this threaded comment; however, any edits to it will get removed if the file is opened in a newer version of Excel. Learn more: https://go.microsoft.com/fwlink/?linkid=870924
Comment:
    Solely based on % Prism estimates - Not based on survey volumes</t>
      </text>
    </comment>
    <comment ref="F95" authorId="4" shapeId="0" xr:uid="{E31C6938-3D6A-4DFE-BDC6-F14E9BA35127}">
      <text>
        <t>[Threaded comment]
Your version of Excel allows you to read this threaded comment; however, any edits to it will get removed if the file is opened in a newer version of Excel. Learn more: https://go.microsoft.com/fwlink/?linkid=870924
Comment:
    Solely based on % Prism estimates - Not based on survey volumes</t>
      </text>
    </comment>
    <comment ref="F117" authorId="5" shapeId="0" xr:uid="{00E815AC-4AAF-4F95-ABB8-BD5D003184CF}">
      <text>
        <t>[Threaded comment]
Your version of Excel allows you to read this threaded comment; however, any edits to it will get removed if the file is opened in a newer version of Excel. Learn more: https://go.microsoft.com/fwlink/?linkid=870924
Comment:
    Solely based on % Prism estimates - Not based on survey volumes</t>
      </text>
    </comment>
    <comment ref="F145" authorId="6" shapeId="0" xr:uid="{72BE23D2-5D66-450E-9648-6DCC557E7E15}">
      <text>
        <t>[Threaded comment]
Your version of Excel allows you to read this threaded comment; however, any edits to it will get removed if the file is opened in a newer version of Excel. Learn more: https://go.microsoft.com/fwlink/?linkid=870924
Comment:
    Solely based on % Prism estimates - Not based on survey volumes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tc={121D516C-BDF7-40C7-83DC-0903A8F2EB7B}</author>
    <author>tc={7AECB4FD-CDF8-47EA-B833-E083DDA7645E}</author>
    <author>tc={6F6E77AD-ACE1-4B51-B277-13F7EAC72AD0}</author>
    <author>tc={D0446AEA-E0EE-4C9B-B104-998EAC639F89}</author>
    <author>tc={71D4B285-EF3D-46C6-B69C-0FBE8A3203EF}</author>
    <author>tc={3B347011-E673-4212-8589-EF7A8849D4D3}</author>
    <author>tc={C9EAED7F-9CC4-4FAE-BEEE-590D5ADF121D}</author>
    <author>tc={AF85A71F-6735-4C8C-9E16-B9B5BF897D1D}</author>
    <author>tc={CBCE2503-41A1-43BB-8BF3-78FD65EE9F46}</author>
    <author>tc={033F32B1-14FD-4D50-AF85-5674F583C94D}</author>
  </authors>
  <commentList>
    <comment ref="D3" authorId="0" shapeId="0" xr:uid="{121D516C-BDF7-40C7-83DC-0903A8F2EB7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Group Number for OPC lookup from Table Tab</t>
      </text>
    </comment>
    <comment ref="D5" authorId="1" shapeId="0" xr:uid="{7AECB4FD-CDF8-47EA-B833-E083DDA7645E}">
      <text>
        <t>[Threaded comment]
Your version of Excel allows you to read this threaded comment; however, any edits to it will get removed if the file is opened in a newer version of Excel. Learn more: https://go.microsoft.com/fwlink/?linkid=870924
Comment:
    Dredge template prism volume - not dredging volume</t>
      </text>
    </comment>
    <comment ref="C12" authorId="2" shapeId="0" xr:uid="{6F6E77AD-ACE1-4B51-B277-13F7EAC72AD0}">
      <text>
        <t>[Threaded comment]
Your version of Excel allows you to read this threaded comment; however, any edits to it will get removed if the file is opened in a newer version of Excel. Learn more: https://go.microsoft.com/fwlink/?linkid=870924
Comment:
    Solely based on % Prism estimates - Not based on survey volumes</t>
      </text>
    </comment>
    <comment ref="B14" authorId="3" shapeId="0" xr:uid="{D0446AEA-E0EE-4C9B-B104-998EAC639F8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percentage of prism that will be dredged based on spot checks {PrismQC Vols} - can update with actual quantities from survey data</t>
      </text>
    </comment>
    <comment ref="B19" authorId="4" shapeId="0" xr:uid="{71D4B285-EF3D-46C6-B69C-0FBE8A3203EF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fiscal year for inflation/Construction Cost index projected costs</t>
      </text>
    </comment>
    <comment ref="B20" authorId="5" shapeId="0" xr:uid="{3B347011-E673-4212-8589-EF7A8849D4D3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fiscal year for inflation/Construction Cost index projected costs</t>
      </text>
    </comment>
    <comment ref="B21" authorId="6" shapeId="0" xr:uid="{C9EAED7F-9CC4-4FAE-BEEE-590D5ADF121D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fiscal year for inflation/Construction Cost index projected costs</t>
      </text>
    </comment>
    <comment ref="B22" authorId="7" shapeId="0" xr:uid="{AF85A71F-6735-4C8C-9E16-B9B5BF897D1D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fiscal year for inflation/Construction Cost index projected costs</t>
      </text>
    </comment>
    <comment ref="B23" authorId="8" shapeId="0" xr:uid="{CBCE2503-41A1-43BB-8BF3-78FD65EE9F46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fiscal year for inflation/Construction Cost index projected costs</t>
      </text>
    </comment>
    <comment ref="B24" authorId="9" shapeId="0" xr:uid="{033F32B1-14FD-4D50-AF85-5674F583C94D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fiscal year for inflation/Construction Cost index projected costs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tc={B56FD34D-C5B7-41A7-93C3-50B96F8A7147}</author>
    <author>Jenna Phillips</author>
  </authors>
  <commentList>
    <comment ref="H4" authorId="0" shapeId="0" xr:uid="{B56FD34D-C5B7-41A7-93C3-50B96F8A714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Yellow cells are pulldown and change cost parameters based on selections - </t>
      </text>
    </comment>
    <comment ref="AO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Jenna Phillips:</t>
        </r>
        <r>
          <rPr>
            <sz val="9"/>
            <color indexed="81"/>
            <rFont val="Tahoma"/>
            <family val="2"/>
          </rPr>
          <t xml:space="preserve">
splits into two around shoal 
</t>
        </r>
      </text>
    </comment>
    <comment ref="AO3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Jenna Phillips:</t>
        </r>
        <r>
          <rPr>
            <sz val="9"/>
            <color indexed="81"/>
            <rFont val="Tahoma"/>
            <family val="2"/>
          </rPr>
          <t xml:space="preserve">
200' wide section splits into 2 around shoal 
</t>
        </r>
      </text>
    </comment>
    <comment ref="AO3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Jenna Phillips:</t>
        </r>
        <r>
          <rPr>
            <sz val="9"/>
            <color indexed="81"/>
            <rFont val="Tahoma"/>
            <family val="2"/>
          </rPr>
          <t xml:space="preserve">
not navigable; pedestrian bridge crossing
</t>
        </r>
      </text>
    </comment>
    <comment ref="AO4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Jenna Phillips:</t>
        </r>
        <r>
          <rPr>
            <sz val="9"/>
            <color indexed="81"/>
            <rFont val="Tahoma"/>
            <family val="2"/>
          </rPr>
          <t xml:space="preserve">
not navigable</t>
        </r>
      </text>
    </comment>
    <comment ref="AO10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Jenna Phillips:</t>
        </r>
        <r>
          <rPr>
            <sz val="9"/>
            <color indexed="81"/>
            <rFont val="Tahoma"/>
            <family val="2"/>
          </rPr>
          <t xml:space="preserve">
adjacent to ICW - still need to include?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5" authorId="0" shapeId="0" xr:uid="{F1C7D38D-2786-41DA-99EC-CE14014A99E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1% of labour
</t>
        </r>
      </text>
    </comment>
    <comment ref="N38" authorId="0" shapeId="0" xr:uid="{C4479D72-8239-4CD6-BA40-AF6F276E433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1% of labour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5" authorId="0" shapeId="0" xr:uid="{0A53375E-8318-43DC-9384-1D8CFF1E2ED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1% of labour
</t>
        </r>
      </text>
    </comment>
    <comment ref="N38" authorId="0" shapeId="0" xr:uid="{B1887D1B-8C82-4796-A6AC-01208D13C2C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1% of labour
</t>
        </r>
      </text>
    </comment>
  </commentList>
</comments>
</file>

<file path=xl/sharedStrings.xml><?xml version="1.0" encoding="utf-8"?>
<sst xmlns="http://schemas.openxmlformats.org/spreadsheetml/2006/main" count="2969" uniqueCount="690">
  <si>
    <t>StreetNorth</t>
  </si>
  <si>
    <t>StreetSouth</t>
  </si>
  <si>
    <t>PermitStatus</t>
  </si>
  <si>
    <t>SeagrassPotential</t>
  </si>
  <si>
    <t>County</t>
  </si>
  <si>
    <t>13</t>
  </si>
  <si>
    <t>Emerald Harbor Drive</t>
  </si>
  <si>
    <t>Old Compass Road</t>
  </si>
  <si>
    <t>Yes</t>
  </si>
  <si>
    <t>No dredging proposed.</t>
  </si>
  <si>
    <t>N</t>
  </si>
  <si>
    <t xml:space="preserve">at canal end </t>
  </si>
  <si>
    <t>Silt</t>
  </si>
  <si>
    <t>Moderate</t>
  </si>
  <si>
    <t>Manatee</t>
  </si>
  <si>
    <t>14</t>
  </si>
  <si>
    <t>Binnacle Point Drive</t>
  </si>
  <si>
    <t xml:space="preserve">culver at canal end </t>
  </si>
  <si>
    <t xml:space="preserve">y </t>
  </si>
  <si>
    <t xml:space="preserve">at end </t>
  </si>
  <si>
    <t>Sandy Silt</t>
  </si>
  <si>
    <t>16</t>
  </si>
  <si>
    <t>Evergreen Way</t>
  </si>
  <si>
    <t>Jungle Queen Way</t>
  </si>
  <si>
    <t>Entrance is exempt to -5.4 feet.</t>
  </si>
  <si>
    <t xml:space="preserve">2 outfalls at end </t>
  </si>
  <si>
    <t xml:space="preserve">Y </t>
  </si>
  <si>
    <t>Muck</t>
  </si>
  <si>
    <t>High</t>
  </si>
  <si>
    <t>17</t>
  </si>
  <si>
    <t>Tarawitt Drive</t>
  </si>
  <si>
    <t xml:space="preserve">multiple </t>
  </si>
  <si>
    <t>Silt/Muck</t>
  </si>
  <si>
    <t>18</t>
  </si>
  <si>
    <t>St Judes North</t>
  </si>
  <si>
    <t xml:space="preserve">at end of boat access </t>
  </si>
  <si>
    <t>Sandy Silt with some shell</t>
  </si>
  <si>
    <t>19</t>
  </si>
  <si>
    <t>St Judes South</t>
  </si>
  <si>
    <t xml:space="preserve">pipe and v notch </t>
  </si>
  <si>
    <t>Sandy Silt/Muck</t>
  </si>
  <si>
    <t>24</t>
  </si>
  <si>
    <t>4960 GMD</t>
  </si>
  <si>
    <t>N/A</t>
  </si>
  <si>
    <t>North Windward Bay Marina, no dredging proposed.</t>
  </si>
  <si>
    <t>North Windward Bay Marina</t>
  </si>
  <si>
    <t xml:space="preserve">none visible </t>
  </si>
  <si>
    <t xml:space="preserve">mid basin </t>
  </si>
  <si>
    <t>26</t>
  </si>
  <si>
    <t>Exeter Drive</t>
  </si>
  <si>
    <t>Falmouth Drive</t>
  </si>
  <si>
    <t>No</t>
  </si>
  <si>
    <t>Longboat harbor, no dredging proposed.</t>
  </si>
  <si>
    <t>Longboat Harbor</t>
  </si>
  <si>
    <t>4</t>
  </si>
  <si>
    <t xml:space="preserve">at end, and at canal mouth </t>
  </si>
  <si>
    <t>Sandy Silty with Shell</t>
  </si>
  <si>
    <t>Pure Silt/Fluffy</t>
  </si>
  <si>
    <t>28</t>
  </si>
  <si>
    <t>Jessmyth Way</t>
  </si>
  <si>
    <t>Jessmyth Drive</t>
  </si>
  <si>
    <t>Sarasota</t>
  </si>
  <si>
    <t>29</t>
  </si>
  <si>
    <t>Roundtree Drive</t>
  </si>
  <si>
    <t>2 outfalls near end</t>
  </si>
  <si>
    <t xml:space="preserve">at end, and at entrance </t>
  </si>
  <si>
    <t>Clean Sand</t>
  </si>
  <si>
    <t>30</t>
  </si>
  <si>
    <t>Kingfisher Lane</t>
  </si>
  <si>
    <t xml:space="preserve">at end, and at canal entrance </t>
  </si>
  <si>
    <t>Clean Fine Sand</t>
  </si>
  <si>
    <t>31</t>
  </si>
  <si>
    <t>3500 GMD</t>
  </si>
  <si>
    <t>Bayou Sound</t>
  </si>
  <si>
    <t>No dredging proposed. Cranes Bayou.</t>
  </si>
  <si>
    <t xml:space="preserve">in channel </t>
  </si>
  <si>
    <t>n</t>
  </si>
  <si>
    <t xml:space="preserve">at intersection of c32p, and at UNK/c31 intersectio </t>
  </si>
  <si>
    <t>Clean Fine Sand with Shell</t>
  </si>
  <si>
    <t>Silty Fine Sand</t>
  </si>
  <si>
    <t>32</t>
  </si>
  <si>
    <t>Longview Drive</t>
  </si>
  <si>
    <t>Buttonwood Drive</t>
  </si>
  <si>
    <t xml:space="preserve">No dredging proposed.  </t>
  </si>
  <si>
    <t xml:space="preserve">basin near boat ramp </t>
  </si>
  <si>
    <t xml:space="preserve">N </t>
  </si>
  <si>
    <t xml:space="preserve">at basin end </t>
  </si>
  <si>
    <t>33</t>
  </si>
  <si>
    <t>Harbor Cove Circle</t>
  </si>
  <si>
    <t>Putter lane</t>
  </si>
  <si>
    <t>Zwicks Channel</t>
  </si>
  <si>
    <t>Y</t>
  </si>
  <si>
    <t xml:space="preserve">at entrance </t>
  </si>
  <si>
    <t>Fine Sand</t>
  </si>
  <si>
    <t>34</t>
  </si>
  <si>
    <t>Putter Lane</t>
  </si>
  <si>
    <t>Golf Links Lane</t>
  </si>
  <si>
    <t>35</t>
  </si>
  <si>
    <t>Chipping Lane</t>
  </si>
  <si>
    <t xml:space="preserve">2 pvc pipes </t>
  </si>
  <si>
    <t xml:space="preserve">at entrance and at end </t>
  </si>
  <si>
    <t>36</t>
  </si>
  <si>
    <t>Wedge Lane</t>
  </si>
  <si>
    <t xml:space="preserve">  pvc pipe</t>
  </si>
  <si>
    <t>37</t>
  </si>
  <si>
    <t>Birdie Lane</t>
  </si>
  <si>
    <t>38</t>
  </si>
  <si>
    <t>Putting Green Lane</t>
  </si>
  <si>
    <t xml:space="preserve">1 visible at midpoint of canal </t>
  </si>
  <si>
    <t xml:space="preserve">at end and at mid point </t>
  </si>
  <si>
    <t>39</t>
  </si>
  <si>
    <t>Yardarm Lane</t>
  </si>
  <si>
    <t xml:space="preserve">at end near culvert </t>
  </si>
  <si>
    <t>40</t>
  </si>
  <si>
    <t>Bowspirit Lane</t>
  </si>
  <si>
    <t xml:space="preserve">1 at end </t>
  </si>
  <si>
    <t>Silty Fine Sand with Shell</t>
  </si>
  <si>
    <t>41</t>
  </si>
  <si>
    <t>Ranger Lane</t>
  </si>
  <si>
    <t xml:space="preserve">3 (2 are pvc) </t>
  </si>
  <si>
    <t>42</t>
  </si>
  <si>
    <t>Ranger lane</t>
  </si>
  <si>
    <t>Halyard Lane</t>
  </si>
  <si>
    <t>1</t>
  </si>
  <si>
    <t xml:space="preserve">at entrance, and at end </t>
  </si>
  <si>
    <t>43</t>
  </si>
  <si>
    <t>Spinnaker Lane</t>
  </si>
  <si>
    <t xml:space="preserve">at midpoint </t>
  </si>
  <si>
    <t>44</t>
  </si>
  <si>
    <t>Hornblower Lane</t>
  </si>
  <si>
    <t>45</t>
  </si>
  <si>
    <t>Gunwale Lane</t>
  </si>
  <si>
    <t>2</t>
  </si>
  <si>
    <t xml:space="preserve">1 - at end, and 2 - mid point </t>
  </si>
  <si>
    <t>Silty Sand</t>
  </si>
  <si>
    <t>46</t>
  </si>
  <si>
    <t>Outrigger Lane</t>
  </si>
  <si>
    <t xml:space="preserve">at canal end, and midpoint </t>
  </si>
  <si>
    <t>Fine Silty Sand</t>
  </si>
  <si>
    <t>47</t>
  </si>
  <si>
    <t>Cutter Lane</t>
  </si>
  <si>
    <t>-</t>
  </si>
  <si>
    <t>48</t>
  </si>
  <si>
    <t>Yawl Lane</t>
  </si>
  <si>
    <t>3</t>
  </si>
  <si>
    <t xml:space="preserve">at midpoint, at end, at entrance </t>
  </si>
  <si>
    <t>49</t>
  </si>
  <si>
    <t>Schooner Lane</t>
  </si>
  <si>
    <t>50</t>
  </si>
  <si>
    <t>Ketch Lane</t>
  </si>
  <si>
    <t>51</t>
  </si>
  <si>
    <t>Sloop Lane</t>
  </si>
  <si>
    <t>52</t>
  </si>
  <si>
    <t>Channel Lane</t>
  </si>
  <si>
    <t>Bay Harbor Apartments, No dredging proposed.</t>
  </si>
  <si>
    <t>Bay Harbor Apartments</t>
  </si>
  <si>
    <t>at canal end</t>
  </si>
  <si>
    <t>Muck/ Silty Sand</t>
  </si>
  <si>
    <t>20</t>
  </si>
  <si>
    <t>Gulfbay Road</t>
  </si>
  <si>
    <t>Not navigable</t>
  </si>
  <si>
    <t>21A</t>
  </si>
  <si>
    <t xml:space="preserve">at ICW end </t>
  </si>
  <si>
    <t>27</t>
  </si>
  <si>
    <t>Bayfront Recreation Center</t>
  </si>
  <si>
    <t>Access dredging by permit to -3.4 ft NGVD.</t>
  </si>
  <si>
    <t>2A</t>
  </si>
  <si>
    <t>Access Canal 2</t>
  </si>
  <si>
    <t>1 - south end of cove; 2 - north end of cove</t>
  </si>
  <si>
    <t>Bird Roosting Area</t>
  </si>
  <si>
    <t>53</t>
  </si>
  <si>
    <t>Boathouse Marina</t>
  </si>
  <si>
    <t xml:space="preserve">no access for boats/appears private </t>
  </si>
  <si>
    <t>55</t>
  </si>
  <si>
    <t xml:space="preserve">at end interior of canal </t>
  </si>
  <si>
    <t>Clayey Silt</t>
  </si>
  <si>
    <t>55A</t>
  </si>
  <si>
    <t xml:space="preserve">at interior canal end </t>
  </si>
  <si>
    <t>Clayey Fine Sand with some Shell</t>
  </si>
  <si>
    <t>7A</t>
  </si>
  <si>
    <t>Access Canal for 7, 8, 9 &amp; 10</t>
  </si>
  <si>
    <t xml:space="preserve">none visible; open water </t>
  </si>
  <si>
    <t>b/2 canals 8 &amp;9</t>
  </si>
  <si>
    <t>11A</t>
  </si>
  <si>
    <t>Access 11</t>
  </si>
  <si>
    <t>(Includes 12&amp;13)</t>
  </si>
  <si>
    <t>Binnacle Point</t>
  </si>
  <si>
    <t xml:space="preserve">1 - at 11 and 11A intersection; 2 - at intersection of c14 </t>
  </si>
  <si>
    <t>11S</t>
  </si>
  <si>
    <t>Old 15S</t>
  </si>
  <si>
    <t>11B</t>
  </si>
  <si>
    <t>16A</t>
  </si>
  <si>
    <t>Access canal for 16, 17, 18 &amp; 19</t>
  </si>
  <si>
    <t xml:space="preserve">mid canal at mouth of c19 </t>
  </si>
  <si>
    <t>20A</t>
  </si>
  <si>
    <t>Access canal for 20</t>
  </si>
  <si>
    <t>none visible</t>
  </si>
  <si>
    <t>25</t>
  </si>
  <si>
    <t>4500 GMD</t>
  </si>
  <si>
    <t xml:space="preserve">at mid point </t>
  </si>
  <si>
    <t>23</t>
  </si>
  <si>
    <t>5000 GMD</t>
  </si>
  <si>
    <t>Sandy Muck (High Organics)</t>
  </si>
  <si>
    <t>22</t>
  </si>
  <si>
    <t>5056 GMD</t>
  </si>
  <si>
    <t>5050 GMD</t>
  </si>
  <si>
    <t>21</t>
  </si>
  <si>
    <t>Sanhamn Place</t>
  </si>
  <si>
    <t>31A</t>
  </si>
  <si>
    <t>Access 31</t>
  </si>
  <si>
    <t>Buttonwod Harbor offshore channel.</t>
  </si>
  <si>
    <t>at mid point</t>
  </si>
  <si>
    <t>Fine Sand with some Silt</t>
  </si>
  <si>
    <t>32A</t>
  </si>
  <si>
    <t xml:space="preserve">open water, d = 7.5' </t>
  </si>
  <si>
    <t xml:space="preserve">mid point of channel </t>
  </si>
  <si>
    <t>Fine Sand with some Shell</t>
  </si>
  <si>
    <t>32B</t>
  </si>
  <si>
    <t xml:space="preserve">control structure present </t>
  </si>
  <si>
    <t/>
  </si>
  <si>
    <t>33A</t>
  </si>
  <si>
    <t xml:space="preserve">over water, d = 5.4' </t>
  </si>
  <si>
    <t xml:space="preserve">at midpoint of sandbar and mangroves </t>
  </si>
  <si>
    <t xml:space="preserve">mangrove shoreline with some riprap </t>
  </si>
  <si>
    <t xml:space="preserve">4 - at bend, 5 - north of 33A access, 6 - s of 32A, 7 - at harborside club, </t>
  </si>
  <si>
    <t>Six samples taken</t>
  </si>
  <si>
    <t>Ranges from muck to sandy fine sand</t>
  </si>
  <si>
    <t>Harborside Perimeter Canal</t>
  </si>
  <si>
    <t>54A</t>
  </si>
  <si>
    <t>1 - at intersection of c52 mouth, 2 - at intersection of c51, 3 - unk at intersection of c38</t>
  </si>
  <si>
    <t>Fine Sand with Shell</t>
  </si>
  <si>
    <t>22A</t>
  </si>
  <si>
    <t>Access 22</t>
  </si>
  <si>
    <t xml:space="preserve">d = 2' </t>
  </si>
  <si>
    <t xml:space="preserve">open water in channel </t>
  </si>
  <si>
    <t>26P</t>
  </si>
  <si>
    <t xml:space="preserve">in front of park </t>
  </si>
  <si>
    <t>21P</t>
  </si>
  <si>
    <t>along perimeter</t>
  </si>
  <si>
    <t>Oyster bed/Hardbottom</t>
  </si>
  <si>
    <t>22P</t>
  </si>
  <si>
    <t>24A</t>
  </si>
  <si>
    <t>at mouth of c24</t>
  </si>
  <si>
    <t>20P</t>
  </si>
  <si>
    <t xml:space="preserve">open water channel </t>
  </si>
  <si>
    <t xml:space="preserve">at end north </t>
  </si>
  <si>
    <t>14B</t>
  </si>
  <si>
    <t>HOA?</t>
  </si>
  <si>
    <t xml:space="preserve">end mid point of basin </t>
  </si>
  <si>
    <t>11C</t>
  </si>
  <si>
    <t xml:space="preserve">open water </t>
  </si>
  <si>
    <t>at intersection of 11</t>
  </si>
  <si>
    <t>1A</t>
  </si>
  <si>
    <t>1 - inside bridge, 2 - at intersection of canal</t>
  </si>
  <si>
    <t>1P</t>
  </si>
  <si>
    <t>triple pipe outfall</t>
  </si>
  <si>
    <t>at south end near outfall</t>
  </si>
  <si>
    <t>Shell (Large and Small)</t>
  </si>
  <si>
    <t>14A</t>
  </si>
  <si>
    <t>adjacent to ICW</t>
  </si>
  <si>
    <t>25A</t>
  </si>
  <si>
    <t>31C</t>
  </si>
  <si>
    <t>31D</t>
  </si>
  <si>
    <t>31E</t>
  </si>
  <si>
    <t>N (outlet)</t>
  </si>
  <si>
    <t xml:space="preserve">at shoal </t>
  </si>
  <si>
    <t>33F</t>
  </si>
  <si>
    <t>Low</t>
  </si>
  <si>
    <t>33E</t>
  </si>
  <si>
    <t>Sandy Silt with Shell</t>
  </si>
  <si>
    <t>33D</t>
  </si>
  <si>
    <t xml:space="preserve">possibly submerged </t>
  </si>
  <si>
    <t>33C</t>
  </si>
  <si>
    <t xml:space="preserve">mangrove fringe at end </t>
  </si>
  <si>
    <t xml:space="preserve">at canal end and at entrance </t>
  </si>
  <si>
    <t>Sandy Muck</t>
  </si>
  <si>
    <t>Gulf of Mexico Drive</t>
  </si>
  <si>
    <t>Longboat Drive North</t>
  </si>
  <si>
    <t>No dredging proposed</t>
  </si>
  <si>
    <t xml:space="preserve">shoaled at depth = 2 ft </t>
  </si>
  <si>
    <t xml:space="preserve"> 1 - at canal end and 2 - at mouth of canal </t>
  </si>
  <si>
    <t>Bayou Hammock Road</t>
  </si>
  <si>
    <t>Whitney Beach Assosciation</t>
  </si>
  <si>
    <t>Bishop Bayou, includes offshore access dredging</t>
  </si>
  <si>
    <t xml:space="preserve">depth = 2ft </t>
  </si>
  <si>
    <t xml:space="preserve">1 - near start, and 2 - at canal end </t>
  </si>
  <si>
    <t>Shinbone Alley</t>
  </si>
  <si>
    <t>Juan Anasco Drive</t>
  </si>
  <si>
    <t>Depth of dredging limited to -3.4 feet by engineering.</t>
  </si>
  <si>
    <t>2B</t>
  </si>
  <si>
    <t>DeNarvez Drive</t>
  </si>
  <si>
    <t xml:space="preserve">1 - at canal end; 2 - mid point </t>
  </si>
  <si>
    <t>Shelly Fine Sand</t>
  </si>
  <si>
    <t>5</t>
  </si>
  <si>
    <t>Bayview Drive</t>
  </si>
  <si>
    <t>6</t>
  </si>
  <si>
    <t>Lyons Lane</t>
  </si>
  <si>
    <t>7</t>
  </si>
  <si>
    <t>Norton Street</t>
  </si>
  <si>
    <t>Muck with some shell</t>
  </si>
  <si>
    <t>8</t>
  </si>
  <si>
    <t>Marbury Lane</t>
  </si>
  <si>
    <t xml:space="preserve">at canal end &amp; at midpoint </t>
  </si>
  <si>
    <t>Muck/Silt</t>
  </si>
  <si>
    <t>9</t>
  </si>
  <si>
    <t>Penfield Street</t>
  </si>
  <si>
    <t xml:space="preserve">at end; and at center </t>
  </si>
  <si>
    <t>10</t>
  </si>
  <si>
    <t>Wake Island</t>
  </si>
  <si>
    <t>11</t>
  </si>
  <si>
    <t>Hideaway Bay Drive</t>
  </si>
  <si>
    <t>Dream Island Road</t>
  </si>
  <si>
    <t>12</t>
  </si>
  <si>
    <t xml:space="preserve">at intersection of c12 and 15 </t>
  </si>
  <si>
    <t>15</t>
  </si>
  <si>
    <t>32P</t>
  </si>
  <si>
    <t>1 - at end, 2 &amp; 3 - along perimeter</t>
  </si>
  <si>
    <t>Seven samples taken</t>
  </si>
  <si>
    <t>muck to silty fine sand sand with shells</t>
  </si>
  <si>
    <t>Oyster Beds</t>
  </si>
  <si>
    <t>Access Canal 2_x000D_</t>
  </si>
  <si>
    <t>5056 GMD_x000D_</t>
  </si>
  <si>
    <t>Yes_x000D_</t>
  </si>
  <si>
    <t>Alongshore channel only, no dredging proposed._x000D_</t>
  </si>
  <si>
    <t>N/A_x000D_</t>
  </si>
  <si>
    <t xml:space="preserve">NOTES: yellow means canal in open water with no shoreline limitations; red text means canal split into two canals around shoal (one way traffic) </t>
  </si>
  <si>
    <t xml:space="preserve">partially enclosed basin </t>
  </si>
  <si>
    <t>Permit Exemption Depth (NGVD)</t>
  </si>
  <si>
    <t>Sediment Sample Location</t>
  </si>
  <si>
    <t>Exempt (Yes/No)</t>
  </si>
  <si>
    <t>Dredge Template Width (ft)</t>
  </si>
  <si>
    <t>Length (FT)</t>
  </si>
  <si>
    <t>Previous Name</t>
  </si>
  <si>
    <t>Canal Name</t>
  </si>
  <si>
    <t>Permit Depth (NGVD)</t>
  </si>
  <si>
    <t xml:space="preserve">Authorized Depth (MLW) </t>
  </si>
  <si>
    <t>Authorized Depth (NGVD)</t>
  </si>
  <si>
    <t xml:space="preserve">Canal No. </t>
  </si>
  <si>
    <t>2b</t>
  </si>
  <si>
    <t>2 to 4</t>
  </si>
  <si>
    <t>0 to 15</t>
  </si>
  <si>
    <t>0 to 10</t>
  </si>
  <si>
    <t>Bottom Width (FT)</t>
  </si>
  <si>
    <t xml:space="preserve">Proposed Dredge Depth (MLW) </t>
  </si>
  <si>
    <t>-4 (min) to -4.6</t>
  </si>
  <si>
    <t xml:space="preserve">-2.9 to -3.4 </t>
  </si>
  <si>
    <t xml:space="preserve">-5.4 (Town LBK Memo) </t>
  </si>
  <si>
    <t>FDEP Authorized Depth (MLW) per Permit 58-01637883-001</t>
  </si>
  <si>
    <t xml:space="preserve">Previously Dredged Depth (FT-NGVD) per Town memo </t>
  </si>
  <si>
    <t>Authorized Depth (MLW) Per Town GIS converted</t>
  </si>
  <si>
    <t>-3.5 bay access</t>
  </si>
  <si>
    <t>-3.5 &amp; -5</t>
  </si>
  <si>
    <t>Removed - adjacent to GIWW</t>
  </si>
  <si>
    <t>Removed - not accessible by boat</t>
  </si>
  <si>
    <t>15N</t>
  </si>
  <si>
    <t>15S</t>
  </si>
  <si>
    <t>15W</t>
  </si>
  <si>
    <t>Added - not previously documented</t>
  </si>
  <si>
    <t>24P</t>
  </si>
  <si>
    <t>Measured Shoal Material (2016)</t>
  </si>
  <si>
    <t>CY/LF</t>
  </si>
  <si>
    <t>PL NOTE</t>
  </si>
  <si>
    <t>23P</t>
  </si>
  <si>
    <t>Changed name to reflect PPT</t>
  </si>
  <si>
    <t>54</t>
  </si>
  <si>
    <t>Group</t>
  </si>
  <si>
    <t>Shoal Severity</t>
  </si>
  <si>
    <t>TE First Classification</t>
  </si>
  <si>
    <t>Original TownClassification</t>
  </si>
  <si>
    <t>Questions_Comments</t>
  </si>
  <si>
    <t>Private</t>
  </si>
  <si>
    <t>R</t>
  </si>
  <si>
    <t>Residential</t>
  </si>
  <si>
    <t>Public</t>
  </si>
  <si>
    <t>G</t>
  </si>
  <si>
    <t>Perimeter</t>
  </si>
  <si>
    <t>Residential properties are along it, but it is also an access for the public marina</t>
  </si>
  <si>
    <t>Only way to access a couple of residential canals; far side is publicly owned</t>
  </si>
  <si>
    <t>Access</t>
  </si>
  <si>
    <t>Questionable because both sides are aligned with houses</t>
  </si>
  <si>
    <t>or public because of access?</t>
  </si>
  <si>
    <t>Should it be split?</t>
  </si>
  <si>
    <t>Cannon's Marina is public?</t>
  </si>
  <si>
    <t>Public accessible</t>
  </si>
  <si>
    <t>Public or Perimeter?</t>
  </si>
  <si>
    <t>Public or Perimter?</t>
  </si>
  <si>
    <t>There is no dock, but it is only to get back to the other residential canal</t>
  </si>
  <si>
    <t>Not Canals</t>
  </si>
  <si>
    <t>1 Res dock; connects 2 canals</t>
  </si>
  <si>
    <t>Lots of residential docks... Public? Unsure of why they would be there?</t>
  </si>
  <si>
    <t>It only leads to Condo Assoc. land?</t>
  </si>
  <si>
    <t>???</t>
  </si>
  <si>
    <t>Parts could be considered residential; awfully long</t>
  </si>
  <si>
    <t>33B</t>
  </si>
  <si>
    <t>Residential or Perimeter?</t>
  </si>
  <si>
    <t>But the marsh is publicly owned</t>
  </si>
  <si>
    <t>Canal split at COBND</t>
  </si>
  <si>
    <t>Canal split/ different funding types</t>
  </si>
  <si>
    <t>Small marina basin not tracked by town</t>
  </si>
  <si>
    <t xml:space="preserve">Measured Avg Width (FT) </t>
  </si>
  <si>
    <t>Added - not previously documented but now permitted</t>
  </si>
  <si>
    <t>Funding Type</t>
  </si>
  <si>
    <t>Included in TownPPT (Tracked by Town)</t>
  </si>
  <si>
    <t>Town Documented Width from PPT</t>
  </si>
  <si>
    <t>Other Benthic Resources</t>
  </si>
  <si>
    <t>Notable Wildlife Observed</t>
  </si>
  <si>
    <t>Location Notes</t>
  </si>
  <si>
    <t>Sediment Type 1</t>
  </si>
  <si>
    <t>Sedimen tType 2</t>
  </si>
  <si>
    <t>Outfall Presence</t>
  </si>
  <si>
    <t>General Notes</t>
  </si>
  <si>
    <t>LBK Notes</t>
  </si>
  <si>
    <t>Supposed Dredge Type</t>
  </si>
  <si>
    <t>Insurance/Bonds</t>
  </si>
  <si>
    <t>Supposed Placement Site/Type</t>
  </si>
  <si>
    <t>Environmental Protection</t>
  </si>
  <si>
    <t>Endangered Specied Monitoring</t>
  </si>
  <si>
    <t>Turbidity</t>
  </si>
  <si>
    <t>Screening</t>
  </si>
  <si>
    <t>Dredging Costs</t>
  </si>
  <si>
    <t>Prism</t>
  </si>
  <si>
    <t>Permit Depth Actual or Assumed</t>
  </si>
  <si>
    <t>Template Prism Volume 3H:1V MLW (CY)</t>
  </si>
  <si>
    <t>Upland</t>
  </si>
  <si>
    <t>Site</t>
  </si>
  <si>
    <t>Dredge</t>
  </si>
  <si>
    <t>Hydraulic</t>
  </si>
  <si>
    <t>Mechanical</t>
  </si>
  <si>
    <t>Total</t>
  </si>
  <si>
    <t>Deckhand</t>
  </si>
  <si>
    <t>Boatman</t>
  </si>
  <si>
    <t>Tow Unit</t>
  </si>
  <si>
    <t>Engineer</t>
  </si>
  <si>
    <t>Leverman</t>
  </si>
  <si>
    <t>Dredge Tow Unit</t>
  </si>
  <si>
    <t>Amount</t>
  </si>
  <si>
    <t>Consumption/hr.</t>
  </si>
  <si>
    <t>Hourly Wage</t>
  </si>
  <si>
    <t>Subsistence</t>
  </si>
  <si>
    <t>P&amp;S</t>
  </si>
  <si>
    <t>Materials</t>
  </si>
  <si>
    <t>Operations</t>
  </si>
  <si>
    <t>Rent</t>
  </si>
  <si>
    <t>Fuel</t>
  </si>
  <si>
    <t>Labour</t>
  </si>
  <si>
    <t>Hours</t>
  </si>
  <si>
    <t>Lb. #</t>
  </si>
  <si>
    <t>Eq. #</t>
  </si>
  <si>
    <t>Mob/Demob Units</t>
  </si>
  <si>
    <t>Excavator</t>
  </si>
  <si>
    <t>Dozer</t>
  </si>
  <si>
    <t>Loader</t>
  </si>
  <si>
    <t>Labor</t>
  </si>
  <si>
    <t>Foreman</t>
  </si>
  <si>
    <t>Pump out station</t>
  </si>
  <si>
    <t>Crane Operator</t>
  </si>
  <si>
    <t>Welding Machine</t>
  </si>
  <si>
    <t>Supply Barge</t>
  </si>
  <si>
    <t>Derrick Unit</t>
  </si>
  <si>
    <t>~8 miles to pump = 41,000' of pipe and 4-5 boosters</t>
  </si>
  <si>
    <t>booster per 1.5 miles</t>
  </si>
  <si>
    <t>Booster = c27 engine 37 gph</t>
  </si>
  <si>
    <t>Barge</t>
  </si>
  <si>
    <t xml:space="preserve">Fuel consumption 62 gph max at full load </t>
  </si>
  <si>
    <t>12 hr day</t>
  </si>
  <si>
    <t>16" dredge = C32 engine and C9 on hydraulics</t>
  </si>
  <si>
    <t>Dredge Unit</t>
  </si>
  <si>
    <t>Max Fuel Consumption</t>
  </si>
  <si>
    <t>Days</t>
  </si>
  <si>
    <t>Fuel Price</t>
  </si>
  <si>
    <t>Longboat Key Canal Design Permitting &amp; Construction</t>
  </si>
  <si>
    <t>Project:</t>
  </si>
  <si>
    <t>Town of Longboat Key</t>
  </si>
  <si>
    <t>Owner:</t>
  </si>
  <si>
    <t>DAILY RATE</t>
  </si>
  <si>
    <t>Tug Captain</t>
  </si>
  <si>
    <t>Rate</t>
  </si>
  <si>
    <t>Time*</t>
  </si>
  <si>
    <t>Day</t>
  </si>
  <si>
    <t>Straight</t>
  </si>
  <si>
    <t>Taxes</t>
  </si>
  <si>
    <t>Wage*</t>
  </si>
  <si>
    <t>Wage</t>
  </si>
  <si>
    <t>Week</t>
  </si>
  <si>
    <t>Basis</t>
  </si>
  <si>
    <t>Labor Classification</t>
  </si>
  <si>
    <t>Total Cost</t>
  </si>
  <si>
    <t>Payroll</t>
  </si>
  <si>
    <t xml:space="preserve">Hourly </t>
  </si>
  <si>
    <t>Daily</t>
  </si>
  <si>
    <t>Hourly</t>
  </si>
  <si>
    <t>Days /</t>
  </si>
  <si>
    <t>Hour</t>
  </si>
  <si>
    <t xml:space="preserve">   SUTA</t>
  </si>
  <si>
    <t xml:space="preserve">   FUTA</t>
  </si>
  <si>
    <t xml:space="preserve">   FICA</t>
  </si>
  <si>
    <t>Payroll Taxes</t>
  </si>
  <si>
    <t>Total FO</t>
  </si>
  <si>
    <t>ls</t>
  </si>
  <si>
    <t>Office Equip. &amp; Supplies</t>
  </si>
  <si>
    <t>mo</t>
  </si>
  <si>
    <t>Office Rent</t>
  </si>
  <si>
    <t>Office Set-up</t>
  </si>
  <si>
    <t>Cell phones</t>
  </si>
  <si>
    <t>Travel</t>
  </si>
  <si>
    <t>wk</t>
  </si>
  <si>
    <t>d</t>
  </si>
  <si>
    <t xml:space="preserve">Housing </t>
  </si>
  <si>
    <t>Unit</t>
  </si>
  <si>
    <t>QTY</t>
  </si>
  <si>
    <t>Field Engineer</t>
  </si>
  <si>
    <t>QCM</t>
  </si>
  <si>
    <t>SSHO</t>
  </si>
  <si>
    <t>Extension</t>
  </si>
  <si>
    <t xml:space="preserve">Months: </t>
  </si>
  <si>
    <t>Weeks:</t>
  </si>
  <si>
    <t xml:space="preserve">Total Project Days: </t>
  </si>
  <si>
    <t xml:space="preserve">Dredging Days: </t>
  </si>
  <si>
    <t xml:space="preserve">Additional Back End: </t>
  </si>
  <si>
    <t xml:space="preserve">Demobilization Days [Dredge]: </t>
  </si>
  <si>
    <t xml:space="preserve">Additional Front End: </t>
  </si>
  <si>
    <t xml:space="preserve">Mobilization Days [Dredge]: </t>
  </si>
  <si>
    <t>Backhoe</t>
  </si>
  <si>
    <t>Field Overhead</t>
  </si>
  <si>
    <t>Total Mob</t>
  </si>
  <si>
    <t>Total Days</t>
  </si>
  <si>
    <t>BD Surveys</t>
  </si>
  <si>
    <t>Trucking Costs</t>
  </si>
  <si>
    <t>Utility Survey</t>
  </si>
  <si>
    <t>Services</t>
  </si>
  <si>
    <t>Unit Cost</t>
  </si>
  <si>
    <t>LS</t>
  </si>
  <si>
    <t>Kick-off meeting</t>
  </si>
  <si>
    <t>Project Signs</t>
  </si>
  <si>
    <t>Staging area Set-up</t>
  </si>
  <si>
    <t>.</t>
  </si>
  <si>
    <t>Miscellaneous</t>
  </si>
  <si>
    <t>Fuse Pipe</t>
  </si>
  <si>
    <t>Tow Pipe</t>
  </si>
  <si>
    <t>Raft pipe</t>
  </si>
  <si>
    <t>Dredge Pipe</t>
  </si>
  <si>
    <t>Prep for work</t>
  </si>
  <si>
    <t>Tow to Site</t>
  </si>
  <si>
    <t>Prep dredge for tow</t>
  </si>
  <si>
    <t>Mob</t>
  </si>
  <si>
    <t>Total DeMob</t>
  </si>
  <si>
    <t>AD Surveys</t>
  </si>
  <si>
    <t>Turn over - meeting</t>
  </si>
  <si>
    <t>Staging area Clean-up</t>
  </si>
  <si>
    <t>Tow to Yard</t>
  </si>
  <si>
    <t>Demob</t>
  </si>
  <si>
    <t>CY/Day</t>
  </si>
  <si>
    <t>T.E. (Inlcudes weather + DT)</t>
  </si>
  <si>
    <t>Low Prod</t>
  </si>
  <si>
    <t>High Prod</t>
  </si>
  <si>
    <t>Production</t>
  </si>
  <si>
    <t>Work Hours</t>
  </si>
  <si>
    <t>CY/hr</t>
  </si>
  <si>
    <t>Dredge - Hydraulic (650 HP 8"-14" DIA)</t>
  </si>
  <si>
    <t>Tender Tug (300 HP)</t>
  </si>
  <si>
    <t>Consumption/hr</t>
  </si>
  <si>
    <t>% Load</t>
  </si>
  <si>
    <t>Site Prep - Full Unit - Upland DMMA Prep</t>
  </si>
  <si>
    <t>Operator</t>
  </si>
  <si>
    <t>Deckhand/labor</t>
  </si>
  <si>
    <t>Foreman/Operator/Leverman/Engineer</t>
  </si>
  <si>
    <t>Offroad trucks</t>
  </si>
  <si>
    <t>Dredge Unit+Tow Unit</t>
  </si>
  <si>
    <t>Dig/Pay Assumed</t>
  </si>
  <si>
    <t>Production Estimates</t>
  </si>
  <si>
    <t>Template Prism Dig (CY)</t>
  </si>
  <si>
    <t>AVG</t>
  </si>
  <si>
    <t>Daily Production Rate</t>
  </si>
  <si>
    <t>Mob/Demob Cost per Canal</t>
  </si>
  <si>
    <t>No. of Canals in grouping</t>
  </si>
  <si>
    <t>Dredge - Mechanical</t>
  </si>
  <si>
    <t>Barge/scow</t>
  </si>
  <si>
    <t>Leverman/Operator</t>
  </si>
  <si>
    <t>PM</t>
  </si>
  <si>
    <t>Labor (Salaried - 5 day week)</t>
  </si>
  <si>
    <t>Est. Dredge Days</t>
  </si>
  <si>
    <t>D</t>
  </si>
  <si>
    <t>Upland+Mitigation Site</t>
  </si>
  <si>
    <t>Supposed Transport Type</t>
  </si>
  <si>
    <t>Transport</t>
  </si>
  <si>
    <t>Pipeline</t>
  </si>
  <si>
    <t>Scow/Barge</t>
  </si>
  <si>
    <t>Project Costs</t>
  </si>
  <si>
    <t>Total Dredging/CY</t>
  </si>
  <si>
    <t>Total Env Cost/CY</t>
  </si>
  <si>
    <t>Mitigation/Seagrass Risk</t>
  </si>
  <si>
    <t>Approx Acreage (2.5% Mod 5% High)</t>
  </si>
  <si>
    <t>Total/CY</t>
  </si>
  <si>
    <t>Total/CY + 15%</t>
  </si>
  <si>
    <t>Insurance/Bonding</t>
  </si>
  <si>
    <t>Seagrass</t>
  </si>
  <si>
    <t>Mob/Demob (LS)</t>
  </si>
  <si>
    <t>Dredging &amp; Placement (CY)</t>
  </si>
  <si>
    <t>Insurance/Bonding (CY)</t>
  </si>
  <si>
    <t>Environmental Protection (CY)</t>
  </si>
  <si>
    <t>Total Dredging/CY +15%</t>
  </si>
  <si>
    <t>Total Env Cost/CY +15%</t>
  </si>
  <si>
    <t>Cubic Yard Basis {Theoretical Prism - Not Accurate}</t>
  </si>
  <si>
    <t>CANAL GROUP</t>
  </si>
  <si>
    <t>PROBABLE COST</t>
  </si>
  <si>
    <t>Fiscal Year</t>
  </si>
  <si>
    <t>Construction Fiscal Year</t>
  </si>
  <si>
    <t>INFLATION ADJUSTED FUTURE PROBABLE COST</t>
  </si>
  <si>
    <t>CPI/Inflation Projection</t>
  </si>
  <si>
    <t>No Input Required</t>
  </si>
  <si>
    <t>https://www.statista.com/statistics/244983/projected-inflation-rate-in-the-united-states/</t>
  </si>
  <si>
    <t>Inflation Value</t>
  </si>
  <si>
    <t>2xCPI Construction Projected Const. Costs</t>
  </si>
  <si>
    <t>Ed Zarenski Construction Analytics</t>
  </si>
  <si>
    <t>Added colums for OPC - A. Lucey</t>
  </si>
  <si>
    <t>No. of Canals</t>
  </si>
  <si>
    <t>Site Prep - Full Unit - Upland DMMA Restoration</t>
  </si>
  <si>
    <t>Engineering Fees - Plans, Design &amp; Specs</t>
  </si>
  <si>
    <t>Construction Administration</t>
  </si>
  <si>
    <t>Prism Volume</t>
  </si>
  <si>
    <t>Hyatt Bathy QC</t>
  </si>
  <si>
    <t>Template Width</t>
  </si>
  <si>
    <t>Template Length</t>
  </si>
  <si>
    <t>Percent of Prism</t>
  </si>
  <si>
    <t>**</t>
  </si>
  <si>
    <t>Authorized Depth MLW</t>
  </si>
  <si>
    <t>Authorized Depth (MLW)</t>
  </si>
  <si>
    <t>Depth Classification</t>
  </si>
  <si>
    <t>*MLW to NAVD88 datum transformation as referenced to NGS Tidal Benchmark -  8726217 Tidal 2</t>
  </si>
  <si>
    <t>Canal Group</t>
  </si>
  <si>
    <t>% Prism Dredged</t>
  </si>
  <si>
    <t>Template Prism Dig (CY) {% QC Vols}</t>
  </si>
  <si>
    <t>Estimated Dredge Quantities</t>
  </si>
  <si>
    <t>Weighted Avg.</t>
  </si>
  <si>
    <t>Sources **</t>
  </si>
  <si>
    <t>Estimated % Dredge Prism QC Vols - Hyatt 2017 Bathy</t>
  </si>
  <si>
    <t>Upland Site Unit</t>
  </si>
  <si>
    <t>Dredging &amp; Transport per CY</t>
  </si>
  <si>
    <t>Overhead per CY</t>
  </si>
  <si>
    <t>Transport per CY</t>
  </si>
  <si>
    <t>Material rehandling per CY</t>
  </si>
  <si>
    <t>Upland Site Material Handling per CY {+Tipping Fee}</t>
  </si>
  <si>
    <t>Overhead</t>
  </si>
  <si>
    <t>Mobilization Days</t>
  </si>
  <si>
    <t>Additional Front End</t>
  </si>
  <si>
    <t>Legal Assistance</t>
  </si>
  <si>
    <t>Hr</t>
  </si>
  <si>
    <t>Staff Overhead</t>
  </si>
  <si>
    <t>Municipality Overhead</t>
  </si>
  <si>
    <t>Classification</t>
  </si>
  <si>
    <t>Local Canal - Direct Benefit</t>
  </si>
  <si>
    <t>Access Channel - General Benefit</t>
  </si>
  <si>
    <t xml:space="preserve">CANAL GROUP </t>
  </si>
  <si>
    <t>CANAL NAME</t>
  </si>
  <si>
    <t>CELL HOLDER</t>
  </si>
  <si>
    <t>Access.1</t>
  </si>
  <si>
    <t>Seagrass Cost {Est. at $275k/ha}</t>
  </si>
  <si>
    <t>1 ha = 2.47105 ac</t>
  </si>
  <si>
    <t>Seagrass Transplanting &amp; Monitoring ($)</t>
  </si>
  <si>
    <t>Environmental Protection ($)</t>
  </si>
  <si>
    <t>Engineering Fees - Plans, Design &amp; Specs ($)</t>
  </si>
  <si>
    <t>Construction Administration ($)</t>
  </si>
  <si>
    <t>Total Estimate ($)</t>
  </si>
  <si>
    <t>Insurance/Bonding ($)</t>
  </si>
  <si>
    <t>Seagrass Transplanting &amp; Monitoring (Est. Acres)</t>
  </si>
  <si>
    <t>group avg*est. quant</t>
  </si>
  <si>
    <t>est. quant*group avg.$/CY</t>
  </si>
  <si>
    <t>$ per canal based on acres</t>
  </si>
  <si>
    <t>Seagrass Transplanting &amp; Monitoring</t>
  </si>
  <si>
    <t>Dredging &amp; Placement</t>
  </si>
  <si>
    <t xml:space="preserve">Est. Prism quant. </t>
  </si>
  <si>
    <t>10% of cost</t>
  </si>
  <si>
    <t>div. equally among canals</t>
  </si>
  <si>
    <t>5% of cost</t>
  </si>
  <si>
    <t>Column2</t>
  </si>
  <si>
    <t>Column3</t>
  </si>
  <si>
    <t>Private.1</t>
  </si>
  <si>
    <t>Private.2</t>
  </si>
  <si>
    <t>Private.3</t>
  </si>
  <si>
    <t>Private.4</t>
  </si>
  <si>
    <t>Total Estimate - Current FY</t>
  </si>
  <si>
    <t>PROJECTED TOTAL CONSTRUCTION COSTS</t>
  </si>
  <si>
    <t>FY 2024</t>
  </si>
  <si>
    <t>FY 2025</t>
  </si>
  <si>
    <t>FY 2026</t>
  </si>
  <si>
    <t>FY 2027</t>
  </si>
  <si>
    <t>FY 2028</t>
  </si>
  <si>
    <t>Total Estimate - Future FY</t>
  </si>
  <si>
    <t>2A.1 Split</t>
  </si>
  <si>
    <t>Arterial Channel - Cost Share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</si>
</sst>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#,##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9"/>
      <name val="MS Sans Serif"/>
      <family val="2"/>
    </font>
    <font>
      <sz val="9"/>
      <name val="MS Sans Serif"/>
    </font>
    <font>
      <b/>
      <sz val="10"/>
      <color indexed="12"/>
      <name val="MS Sans Serif"/>
      <family val="2"/>
    </font>
    <font>
      <sz val="10"/>
      <name val="MS Sans Serif"/>
      <family val="2"/>
    </font>
    <font>
      <sz val="10"/>
      <color rgb="FF0000FF"/>
      <name val="MS Sans Serif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0" tint="-4.9989318521683403E-2"/>
      <name val="Calibri"/>
      <family val="2"/>
      <scheme val="minor"/>
    </font>
    <font>
      <sz val="2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6" fillId="0" borderId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21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 wrapText="1"/>
    </xf>
    <xf numFmtId="49" fontId="0" fillId="5" borderId="4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6" borderId="0" xfId="0" applyFill="1" applyAlignment="1">
      <alignment horizontal="center"/>
    </xf>
    <xf numFmtId="49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 wrapText="1"/>
    </xf>
    <xf numFmtId="49" fontId="0" fillId="6" borderId="4" xfId="0" applyNumberForma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49" fontId="0" fillId="7" borderId="1" xfId="0" applyNumberFormat="1" applyFill="1" applyBorder="1" applyAlignment="1">
      <alignment horizontal="center" wrapText="1"/>
    </xf>
    <xf numFmtId="49" fontId="0" fillId="7" borderId="4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 wrapText="1"/>
    </xf>
    <xf numFmtId="49" fontId="0" fillId="5" borderId="8" xfId="0" applyNumberFormat="1" applyFill="1" applyBorder="1" applyAlignment="1">
      <alignment horizontal="center"/>
    </xf>
    <xf numFmtId="49" fontId="0" fillId="6" borderId="8" xfId="0" applyNumberForma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7" borderId="8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6" borderId="8" xfId="0" applyFill="1" applyBorder="1" applyAlignment="1">
      <alignment horizontal="center"/>
    </xf>
    <xf numFmtId="0" fontId="0" fillId="6" borderId="0" xfId="0" applyFill="1"/>
    <xf numFmtId="0" fontId="0" fillId="6" borderId="1" xfId="0" applyFill="1" applyBorder="1" applyAlignment="1">
      <alignment wrapText="1"/>
    </xf>
    <xf numFmtId="0" fontId="2" fillId="6" borderId="1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6" fillId="0" borderId="0" xfId="1"/>
    <xf numFmtId="8" fontId="7" fillId="0" borderId="0" xfId="1" applyNumberFormat="1" applyFont="1"/>
    <xf numFmtId="8" fontId="6" fillId="0" borderId="20" xfId="1" applyNumberFormat="1" applyBorder="1"/>
    <xf numFmtId="0" fontId="6" fillId="0" borderId="21" xfId="1" applyBorder="1"/>
    <xf numFmtId="0" fontId="6" fillId="0" borderId="21" xfId="1" applyBorder="1" applyAlignment="1">
      <alignment horizontal="center" vertical="center"/>
    </xf>
    <xf numFmtId="0" fontId="6" fillId="0" borderId="22" xfId="1" applyBorder="1" applyAlignment="1">
      <alignment horizontal="left" indent="1"/>
    </xf>
    <xf numFmtId="8" fontId="6" fillId="0" borderId="23" xfId="1" applyNumberFormat="1" applyBorder="1"/>
    <xf numFmtId="8" fontId="6" fillId="0" borderId="24" xfId="1" applyNumberFormat="1" applyBorder="1"/>
    <xf numFmtId="0" fontId="6" fillId="0" borderId="24" xfId="1" applyBorder="1"/>
    <xf numFmtId="0" fontId="6" fillId="0" borderId="25" xfId="1" applyBorder="1"/>
    <xf numFmtId="8" fontId="6" fillId="0" borderId="26" xfId="1" applyNumberFormat="1" applyBorder="1"/>
    <xf numFmtId="8" fontId="6" fillId="0" borderId="27" xfId="1" applyNumberFormat="1" applyBorder="1"/>
    <xf numFmtId="8" fontId="2" fillId="0" borderId="27" xfId="1" applyNumberFormat="1" applyFont="1" applyBorder="1"/>
    <xf numFmtId="8" fontId="6" fillId="0" borderId="28" xfId="1" applyNumberFormat="1" applyBorder="1"/>
    <xf numFmtId="8" fontId="6" fillId="0" borderId="21" xfId="1" applyNumberFormat="1" applyBorder="1"/>
    <xf numFmtId="0" fontId="6" fillId="0" borderId="29" xfId="1" applyBorder="1" applyAlignment="1">
      <alignment horizontal="left" indent="1"/>
    </xf>
    <xf numFmtId="8" fontId="6" fillId="0" borderId="30" xfId="1" applyNumberFormat="1" applyBorder="1"/>
    <xf numFmtId="8" fontId="2" fillId="0" borderId="30" xfId="1" applyNumberFormat="1" applyFont="1" applyBorder="1"/>
    <xf numFmtId="8" fontId="6" fillId="0" borderId="31" xfId="1" applyNumberFormat="1" applyBorder="1"/>
    <xf numFmtId="8" fontId="6" fillId="0" borderId="0" xfId="1" applyNumberFormat="1"/>
    <xf numFmtId="0" fontId="6" fillId="0" borderId="32" xfId="1" applyBorder="1" applyAlignment="1">
      <alignment horizontal="left" indent="1"/>
    </xf>
    <xf numFmtId="0" fontId="6" fillId="0" borderId="30" xfId="1" applyBorder="1"/>
    <xf numFmtId="0" fontId="6" fillId="0" borderId="31" xfId="1" applyBorder="1"/>
    <xf numFmtId="0" fontId="6" fillId="0" borderId="33" xfId="1" applyBorder="1"/>
    <xf numFmtId="0" fontId="6" fillId="0" borderId="34" xfId="1" applyBorder="1"/>
    <xf numFmtId="0" fontId="6" fillId="0" borderId="35" xfId="1" applyBorder="1"/>
    <xf numFmtId="0" fontId="6" fillId="0" borderId="34" xfId="1" applyBorder="1" applyAlignment="1">
      <alignment horizontal="center" vertical="center"/>
    </xf>
    <xf numFmtId="0" fontId="6" fillId="0" borderId="35" xfId="1" applyBorder="1" applyAlignment="1">
      <alignment horizontal="center" vertical="center"/>
    </xf>
    <xf numFmtId="0" fontId="9" fillId="0" borderId="36" xfId="1" applyFont="1" applyBorder="1" applyAlignment="1">
      <alignment horizontal="left"/>
    </xf>
    <xf numFmtId="8" fontId="6" fillId="0" borderId="37" xfId="1" applyNumberFormat="1" applyBorder="1"/>
    <xf numFmtId="8" fontId="6" fillId="0" borderId="38" xfId="1" applyNumberFormat="1" applyBorder="1"/>
    <xf numFmtId="0" fontId="6" fillId="0" borderId="38" xfId="1" applyBorder="1"/>
    <xf numFmtId="0" fontId="6" fillId="0" borderId="38" xfId="1" applyBorder="1" applyAlignment="1">
      <alignment horizontal="center" vertical="center"/>
    </xf>
    <xf numFmtId="0" fontId="6" fillId="0" borderId="39" xfId="1" applyBorder="1"/>
    <xf numFmtId="0" fontId="6" fillId="0" borderId="40" xfId="1" applyBorder="1"/>
    <xf numFmtId="0" fontId="6" fillId="0" borderId="10" xfId="1" applyBorder="1"/>
    <xf numFmtId="0" fontId="6" fillId="0" borderId="10" xfId="1" applyBorder="1" applyAlignment="1">
      <alignment horizontal="center" vertical="center"/>
    </xf>
    <xf numFmtId="0" fontId="9" fillId="0" borderId="36" xfId="1" applyFont="1" applyBorder="1"/>
    <xf numFmtId="0" fontId="6" fillId="0" borderId="20" xfId="1" applyBorder="1"/>
    <xf numFmtId="0" fontId="6" fillId="0" borderId="27" xfId="1" applyBorder="1"/>
    <xf numFmtId="0" fontId="6" fillId="0" borderId="28" xfId="1" applyBorder="1"/>
    <xf numFmtId="0" fontId="6" fillId="0" borderId="29" xfId="1" applyBorder="1"/>
    <xf numFmtId="0" fontId="6" fillId="0" borderId="41" xfId="1" applyBorder="1"/>
    <xf numFmtId="0" fontId="6" fillId="0" borderId="42" xfId="1" applyBorder="1"/>
    <xf numFmtId="0" fontId="6" fillId="0" borderId="45" xfId="1" applyBorder="1"/>
    <xf numFmtId="0" fontId="6" fillId="0" borderId="44" xfId="1" applyBorder="1"/>
    <xf numFmtId="0" fontId="6" fillId="0" borderId="44" xfId="1" applyBorder="1" applyAlignment="1">
      <alignment horizontal="center" vertical="center"/>
    </xf>
    <xf numFmtId="0" fontId="9" fillId="0" borderId="46" xfId="1" applyFont="1" applyBorder="1"/>
    <xf numFmtId="0" fontId="6" fillId="0" borderId="0" xfId="1" applyAlignment="1">
      <alignment horizontal="center" vertical="center"/>
    </xf>
    <xf numFmtId="8" fontId="6" fillId="0" borderId="47" xfId="1" applyNumberFormat="1" applyBorder="1"/>
    <xf numFmtId="0" fontId="6" fillId="0" borderId="48" xfId="1" applyBorder="1" applyAlignment="1">
      <alignment horizontal="left" indent="1"/>
    </xf>
    <xf numFmtId="8" fontId="6" fillId="0" borderId="49" xfId="1" applyNumberFormat="1" applyBorder="1"/>
    <xf numFmtId="0" fontId="6" fillId="0" borderId="24" xfId="1" applyBorder="1" applyAlignment="1">
      <alignment horizontal="center" vertical="center"/>
    </xf>
    <xf numFmtId="0" fontId="6" fillId="0" borderId="50" xfId="1" applyBorder="1" applyAlignment="1">
      <alignment horizontal="left" indent="1"/>
    </xf>
    <xf numFmtId="0" fontId="6" fillId="0" borderId="27" xfId="1" applyBorder="1" applyAlignment="1">
      <alignment horizontal="left" indent="1"/>
    </xf>
    <xf numFmtId="0" fontId="6" fillId="0" borderId="30" xfId="1" applyBorder="1" applyAlignment="1">
      <alignment horizontal="left" indent="1"/>
    </xf>
    <xf numFmtId="0" fontId="6" fillId="3" borderId="0" xfId="1" applyFill="1"/>
    <xf numFmtId="0" fontId="6" fillId="0" borderId="51" xfId="1" applyBorder="1"/>
    <xf numFmtId="0" fontId="9" fillId="0" borderId="34" xfId="1" applyFont="1" applyBorder="1"/>
    <xf numFmtId="2" fontId="6" fillId="0" borderId="38" xfId="1" applyNumberFormat="1" applyBorder="1"/>
    <xf numFmtId="0" fontId="9" fillId="0" borderId="10" xfId="1" applyFont="1" applyBorder="1"/>
    <xf numFmtId="0" fontId="6" fillId="0" borderId="48" xfId="1" applyBorder="1"/>
    <xf numFmtId="0" fontId="9" fillId="0" borderId="10" xfId="1" applyFont="1" applyBorder="1" applyAlignment="1">
      <alignment horizontal="left"/>
    </xf>
    <xf numFmtId="0" fontId="6" fillId="0" borderId="19" xfId="1" applyBorder="1"/>
    <xf numFmtId="0" fontId="7" fillId="0" borderId="0" xfId="1" applyFont="1"/>
    <xf numFmtId="0" fontId="9" fillId="0" borderId="30" xfId="1" applyFont="1" applyBorder="1"/>
    <xf numFmtId="0" fontId="10" fillId="0" borderId="0" xfId="1" applyFont="1"/>
    <xf numFmtId="14" fontId="11" fillId="0" borderId="20" xfId="1" quotePrefix="1" applyNumberFormat="1" applyFont="1" applyBorder="1" applyAlignment="1">
      <alignment horizontal="center"/>
    </xf>
    <xf numFmtId="37" fontId="11" fillId="0" borderId="21" xfId="1" applyNumberFormat="1" applyFont="1" applyBorder="1" applyAlignment="1">
      <alignment horizontal="right"/>
    </xf>
    <xf numFmtId="0" fontId="11" fillId="0" borderId="21" xfId="1" applyFont="1" applyBorder="1"/>
    <xf numFmtId="0" fontId="11" fillId="0" borderId="21" xfId="1" applyFont="1" applyBorder="1" applyAlignment="1">
      <alignment horizontal="center"/>
    </xf>
    <xf numFmtId="3" fontId="11" fillId="0" borderId="22" xfId="1" applyNumberFormat="1" applyFont="1" applyBorder="1"/>
    <xf numFmtId="3" fontId="11" fillId="0" borderId="26" xfId="1" applyNumberFormat="1" applyFont="1" applyBorder="1" applyAlignment="1">
      <alignment horizontal="center"/>
    </xf>
    <xf numFmtId="37" fontId="11" fillId="0" borderId="0" xfId="1" applyNumberFormat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3" fontId="12" fillId="0" borderId="52" xfId="1" applyNumberFormat="1" applyFont="1" applyBorder="1"/>
    <xf numFmtId="0" fontId="9" fillId="0" borderId="21" xfId="1" applyFont="1" applyBorder="1"/>
    <xf numFmtId="8" fontId="6" fillId="0" borderId="53" xfId="1" applyNumberFormat="1" applyBorder="1"/>
    <xf numFmtId="165" fontId="13" fillId="0" borderId="47" xfId="1" applyNumberFormat="1" applyFont="1" applyBorder="1" applyAlignment="1">
      <alignment horizontal="center"/>
    </xf>
    <xf numFmtId="0" fontId="14" fillId="0" borderId="47" xfId="1" applyFont="1" applyBorder="1" applyAlignment="1">
      <alignment horizontal="center"/>
    </xf>
    <xf numFmtId="0" fontId="14" fillId="0" borderId="53" xfId="1" applyFont="1" applyBorder="1" applyAlignment="1">
      <alignment horizontal="center"/>
    </xf>
    <xf numFmtId="0" fontId="14" fillId="0" borderId="38" xfId="1" applyFont="1" applyBorder="1" applyAlignment="1">
      <alignment horizontal="left"/>
    </xf>
    <xf numFmtId="0" fontId="14" fillId="0" borderId="48" xfId="1" applyFont="1" applyBorder="1" applyAlignment="1">
      <alignment horizontal="left"/>
    </xf>
    <xf numFmtId="165" fontId="13" fillId="0" borderId="31" xfId="1" applyNumberFormat="1" applyFont="1" applyBorder="1" applyAlignment="1">
      <alignment horizontal="center"/>
    </xf>
    <xf numFmtId="0" fontId="14" fillId="0" borderId="31" xfId="1" applyFont="1" applyBorder="1" applyAlignment="1">
      <alignment horizontal="center"/>
    </xf>
    <xf numFmtId="0" fontId="14" fillId="0" borderId="30" xfId="1" applyFont="1" applyBorder="1" applyAlignment="1">
      <alignment horizontal="center"/>
    </xf>
    <xf numFmtId="0" fontId="14" fillId="0" borderId="0" xfId="1" applyFont="1" applyAlignment="1">
      <alignment horizontal="left"/>
    </xf>
    <xf numFmtId="0" fontId="14" fillId="0" borderId="19" xfId="1" applyFont="1" applyBorder="1" applyAlignment="1">
      <alignment horizontal="left"/>
    </xf>
    <xf numFmtId="8" fontId="6" fillId="0" borderId="51" xfId="1" applyNumberFormat="1" applyBorder="1"/>
    <xf numFmtId="8" fontId="6" fillId="0" borderId="10" xfId="1" applyNumberFormat="1" applyBorder="1"/>
    <xf numFmtId="0" fontId="14" fillId="0" borderId="48" xfId="1" applyFont="1" applyBorder="1" applyAlignment="1">
      <alignment horizontal="center"/>
    </xf>
    <xf numFmtId="10" fontId="14" fillId="0" borderId="48" xfId="1" applyNumberFormat="1" applyFont="1" applyBorder="1" applyAlignment="1">
      <alignment horizontal="center"/>
    </xf>
    <xf numFmtId="43" fontId="14" fillId="0" borderId="53" xfId="2" applyFont="1" applyBorder="1" applyAlignment="1">
      <alignment horizontal="center"/>
    </xf>
    <xf numFmtId="0" fontId="14" fillId="0" borderId="47" xfId="1" applyFont="1" applyBorder="1" applyAlignment="1">
      <alignment horizontal="left"/>
    </xf>
    <xf numFmtId="0" fontId="15" fillId="0" borderId="47" xfId="1" applyFont="1" applyBorder="1" applyAlignment="1">
      <alignment horizontal="center"/>
    </xf>
    <xf numFmtId="0" fontId="14" fillId="0" borderId="10" xfId="1" applyFont="1" applyBorder="1" applyAlignment="1">
      <alignment horizontal="center"/>
    </xf>
    <xf numFmtId="0" fontId="14" fillId="0" borderId="19" xfId="1" applyFont="1" applyBorder="1" applyAlignment="1">
      <alignment horizontal="center"/>
    </xf>
    <xf numFmtId="43" fontId="14" fillId="0" borderId="30" xfId="2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14" fillId="0" borderId="12" xfId="1" applyFont="1" applyBorder="1" applyAlignment="1">
      <alignment horizontal="center"/>
    </xf>
    <xf numFmtId="0" fontId="14" fillId="0" borderId="34" xfId="1" applyFont="1" applyBorder="1" applyAlignment="1">
      <alignment horizontal="center"/>
    </xf>
    <xf numFmtId="43" fontId="14" fillId="0" borderId="10" xfId="2" applyFont="1" applyBorder="1" applyAlignment="1">
      <alignment horizontal="center"/>
    </xf>
    <xf numFmtId="0" fontId="14" fillId="0" borderId="51" xfId="1" applyFont="1" applyBorder="1" applyAlignment="1">
      <alignment horizontal="center"/>
    </xf>
    <xf numFmtId="0" fontId="14" fillId="0" borderId="35" xfId="1" applyFont="1" applyBorder="1" applyAlignment="1">
      <alignment horizontal="left"/>
    </xf>
    <xf numFmtId="0" fontId="14" fillId="0" borderId="34" xfId="1" applyFont="1" applyBorder="1" applyAlignment="1">
      <alignment horizontal="left"/>
    </xf>
    <xf numFmtId="10" fontId="6" fillId="0" borderId="0" xfId="1" applyNumberFormat="1" applyAlignment="1">
      <alignment horizontal="center"/>
    </xf>
    <xf numFmtId="10" fontId="6" fillId="0" borderId="38" xfId="1" applyNumberFormat="1" applyBorder="1" applyAlignment="1">
      <alignment horizontal="center"/>
    </xf>
    <xf numFmtId="3" fontId="11" fillId="0" borderId="52" xfId="1" applyNumberFormat="1" applyFont="1" applyBorder="1"/>
    <xf numFmtId="8" fontId="6" fillId="0" borderId="8" xfId="1" applyNumberFormat="1" applyBorder="1"/>
    <xf numFmtId="0" fontId="6" fillId="0" borderId="18" xfId="1" applyBorder="1"/>
    <xf numFmtId="8" fontId="6" fillId="0" borderId="18" xfId="1" applyNumberFormat="1" applyBorder="1"/>
    <xf numFmtId="0" fontId="6" fillId="0" borderId="1" xfId="1" applyBorder="1"/>
    <xf numFmtId="8" fontId="6" fillId="8" borderId="47" xfId="1" applyNumberFormat="1" applyFill="1" applyBorder="1"/>
    <xf numFmtId="0" fontId="6" fillId="8" borderId="38" xfId="1" applyFill="1" applyBorder="1"/>
    <xf numFmtId="0" fontId="6" fillId="8" borderId="48" xfId="1" applyFill="1" applyBorder="1"/>
    <xf numFmtId="0" fontId="6" fillId="0" borderId="53" xfId="1" applyBorder="1"/>
    <xf numFmtId="8" fontId="6" fillId="8" borderId="31" xfId="1" applyNumberFormat="1" applyFill="1" applyBorder="1"/>
    <xf numFmtId="8" fontId="6" fillId="8" borderId="0" xfId="1" applyNumberFormat="1" applyFill="1"/>
    <xf numFmtId="0" fontId="6" fillId="8" borderId="0" xfId="1" applyFill="1" applyAlignment="1">
      <alignment horizontal="right"/>
    </xf>
    <xf numFmtId="0" fontId="16" fillId="8" borderId="19" xfId="1" applyFont="1" applyFill="1" applyBorder="1"/>
    <xf numFmtId="2" fontId="16" fillId="8" borderId="19" xfId="1" applyNumberFormat="1" applyFont="1" applyFill="1" applyBorder="1"/>
    <xf numFmtId="2" fontId="6" fillId="0" borderId="19" xfId="1" applyNumberFormat="1" applyBorder="1"/>
    <xf numFmtId="0" fontId="6" fillId="8" borderId="19" xfId="1" applyFill="1" applyBorder="1"/>
    <xf numFmtId="0" fontId="6" fillId="8" borderId="31" xfId="1" applyFill="1" applyBorder="1"/>
    <xf numFmtId="0" fontId="6" fillId="8" borderId="0" xfId="1" applyFill="1"/>
    <xf numFmtId="0" fontId="6" fillId="8" borderId="0" xfId="1" applyFill="1" applyAlignment="1">
      <alignment horizontal="center"/>
    </xf>
    <xf numFmtId="2" fontId="6" fillId="8" borderId="19" xfId="1" applyNumberFormat="1" applyFill="1" applyBorder="1"/>
    <xf numFmtId="0" fontId="6" fillId="0" borderId="0" xfId="1" applyAlignment="1">
      <alignment horizontal="center"/>
    </xf>
    <xf numFmtId="1" fontId="6" fillId="8" borderId="0" xfId="1" applyNumberFormat="1" applyFill="1" applyAlignment="1">
      <alignment horizontal="center"/>
    </xf>
    <xf numFmtId="1" fontId="6" fillId="8" borderId="19" xfId="1" applyNumberFormat="1" applyFill="1" applyBorder="1"/>
    <xf numFmtId="1" fontId="6" fillId="0" borderId="0" xfId="1" applyNumberFormat="1" applyAlignment="1">
      <alignment horizontal="center"/>
    </xf>
    <xf numFmtId="1" fontId="6" fillId="0" borderId="19" xfId="1" applyNumberFormat="1" applyBorder="1"/>
    <xf numFmtId="0" fontId="6" fillId="0" borderId="38" xfId="1" applyBorder="1" applyAlignment="1">
      <alignment horizontal="center"/>
    </xf>
    <xf numFmtId="0" fontId="6" fillId="0" borderId="54" xfId="1" applyBorder="1"/>
    <xf numFmtId="0" fontId="6" fillId="0" borderId="52" xfId="1" applyBorder="1"/>
    <xf numFmtId="0" fontId="9" fillId="0" borderId="0" xfId="1" applyFont="1" applyAlignment="1">
      <alignment horizontal="left"/>
    </xf>
    <xf numFmtId="0" fontId="6" fillId="3" borderId="19" xfId="1" applyFill="1" applyBorder="1"/>
    <xf numFmtId="8" fontId="6" fillId="3" borderId="0" xfId="1" applyNumberFormat="1" applyFill="1"/>
    <xf numFmtId="0" fontId="0" fillId="0" borderId="30" xfId="1" applyFont="1" applyBorder="1" applyAlignment="1">
      <alignment horizontal="left" indent="1"/>
    </xf>
    <xf numFmtId="0" fontId="6" fillId="3" borderId="30" xfId="1" applyFill="1" applyBorder="1" applyAlignment="1">
      <alignment horizontal="center" vertical="center"/>
    </xf>
    <xf numFmtId="0" fontId="6" fillId="3" borderId="27" xfId="1" applyFill="1" applyBorder="1" applyAlignment="1">
      <alignment horizontal="center" vertical="center"/>
    </xf>
    <xf numFmtId="8" fontId="6" fillId="3" borderId="21" xfId="1" applyNumberFormat="1" applyFill="1" applyBorder="1"/>
    <xf numFmtId="0" fontId="6" fillId="3" borderId="31" xfId="1" applyFill="1" applyBorder="1" applyAlignment="1">
      <alignment horizontal="center" vertical="center"/>
    </xf>
    <xf numFmtId="1" fontId="6" fillId="0" borderId="0" xfId="1" applyNumberFormat="1"/>
    <xf numFmtId="8" fontId="6" fillId="7" borderId="0" xfId="1" applyNumberFormat="1" applyFill="1"/>
    <xf numFmtId="0" fontId="6" fillId="7" borderId="31" xfId="1" applyFill="1" applyBorder="1"/>
    <xf numFmtId="0" fontId="6" fillId="7" borderId="30" xfId="1" applyFill="1" applyBorder="1"/>
    <xf numFmtId="8" fontId="6" fillId="7" borderId="21" xfId="1" applyNumberFormat="1" applyFill="1" applyBorder="1"/>
    <xf numFmtId="0" fontId="6" fillId="7" borderId="28" xfId="1" applyFill="1" applyBorder="1"/>
    <xf numFmtId="0" fontId="6" fillId="7" borderId="27" xfId="1" applyFill="1" applyBorder="1"/>
    <xf numFmtId="8" fontId="2" fillId="3" borderId="30" xfId="1" applyNumberFormat="1" applyFont="1" applyFill="1" applyBorder="1"/>
    <xf numFmtId="8" fontId="6" fillId="3" borderId="30" xfId="1" applyNumberFormat="1" applyFill="1" applyBorder="1"/>
    <xf numFmtId="0" fontId="6" fillId="7" borderId="0" xfId="1" applyFill="1"/>
    <xf numFmtId="8" fontId="6" fillId="7" borderId="31" xfId="1" applyNumberFormat="1" applyFill="1" applyBorder="1"/>
    <xf numFmtId="8" fontId="2" fillId="7" borderId="30" xfId="1" applyNumberFormat="1" applyFont="1" applyFill="1" applyBorder="1"/>
    <xf numFmtId="8" fontId="6" fillId="7" borderId="30" xfId="1" applyNumberFormat="1" applyFill="1" applyBorder="1"/>
    <xf numFmtId="0" fontId="6" fillId="7" borderId="21" xfId="1" applyFill="1" applyBorder="1"/>
    <xf numFmtId="8" fontId="6" fillId="7" borderId="28" xfId="1" applyNumberFormat="1" applyFill="1" applyBorder="1"/>
    <xf numFmtId="8" fontId="2" fillId="7" borderId="27" xfId="1" applyNumberFormat="1" applyFont="1" applyFill="1" applyBorder="1"/>
    <xf numFmtId="8" fontId="6" fillId="7" borderId="27" xfId="1" applyNumberFormat="1" applyFill="1" applyBorder="1"/>
    <xf numFmtId="0" fontId="0" fillId="0" borderId="21" xfId="1" applyFont="1" applyBorder="1"/>
    <xf numFmtId="10" fontId="6" fillId="0" borderId="21" xfId="1" applyNumberFormat="1" applyBorder="1"/>
    <xf numFmtId="10" fontId="11" fillId="0" borderId="0" xfId="1" applyNumberFormat="1" applyFont="1" applyAlignment="1">
      <alignment horizontal="center"/>
    </xf>
    <xf numFmtId="10" fontId="11" fillId="0" borderId="21" xfId="1" applyNumberFormat="1" applyFont="1" applyBorder="1" applyAlignment="1">
      <alignment horizontal="center"/>
    </xf>
    <xf numFmtId="10" fontId="6" fillId="0" borderId="0" xfId="1" applyNumberFormat="1"/>
    <xf numFmtId="10" fontId="6" fillId="0" borderId="44" xfId="1" applyNumberFormat="1" applyBorder="1" applyAlignment="1">
      <alignment horizontal="center"/>
    </xf>
    <xf numFmtId="10" fontId="0" fillId="0" borderId="21" xfId="1" applyNumberFormat="1" applyFont="1" applyBorder="1"/>
    <xf numFmtId="10" fontId="6" fillId="0" borderId="35" xfId="1" applyNumberFormat="1" applyBorder="1"/>
    <xf numFmtId="10" fontId="6" fillId="0" borderId="38" xfId="1" applyNumberFormat="1" applyBorder="1"/>
    <xf numFmtId="10" fontId="6" fillId="0" borderId="24" xfId="1" applyNumberFormat="1" applyBorder="1"/>
    <xf numFmtId="10" fontId="6" fillId="0" borderId="44" xfId="1" applyNumberFormat="1" applyBorder="1"/>
    <xf numFmtId="10" fontId="6" fillId="3" borderId="0" xfId="1" applyNumberFormat="1" applyFill="1"/>
    <xf numFmtId="0" fontId="0" fillId="3" borderId="30" xfId="1" applyFont="1" applyFill="1" applyBorder="1" applyAlignment="1">
      <alignment horizontal="center" vertical="center"/>
    </xf>
    <xf numFmtId="10" fontId="6" fillId="0" borderId="58" xfId="1" applyNumberFormat="1" applyBorder="1"/>
    <xf numFmtId="10" fontId="6" fillId="0" borderId="34" xfId="1" applyNumberFormat="1" applyBorder="1"/>
    <xf numFmtId="0" fontId="0" fillId="0" borderId="32" xfId="1" applyFont="1" applyBorder="1" applyAlignment="1">
      <alignment horizontal="left" indent="1"/>
    </xf>
    <xf numFmtId="10" fontId="16" fillId="3" borderId="0" xfId="1" applyNumberFormat="1" applyFont="1" applyFill="1"/>
    <xf numFmtId="0" fontId="6" fillId="3" borderId="0" xfId="1" applyFill="1" applyAlignment="1">
      <alignment horizontal="center" vertical="center"/>
    </xf>
    <xf numFmtId="0" fontId="6" fillId="3" borderId="38" xfId="1" applyFill="1" applyBorder="1" applyAlignment="1">
      <alignment horizontal="center" vertical="center"/>
    </xf>
    <xf numFmtId="165" fontId="6" fillId="3" borderId="0" xfId="1" applyNumberFormat="1" applyFill="1"/>
    <xf numFmtId="0" fontId="11" fillId="3" borderId="0" xfId="1" applyFont="1" applyFill="1"/>
    <xf numFmtId="0" fontId="11" fillId="3" borderId="0" xfId="1" applyFont="1" applyFill="1" applyAlignment="1">
      <alignment horizontal="center"/>
    </xf>
    <xf numFmtId="0" fontId="11" fillId="3" borderId="21" xfId="1" applyFont="1" applyFill="1" applyBorder="1"/>
    <xf numFmtId="0" fontId="11" fillId="3" borderId="21" xfId="1" applyFont="1" applyFill="1" applyBorder="1" applyAlignment="1">
      <alignment horizontal="center"/>
    </xf>
    <xf numFmtId="0" fontId="6" fillId="3" borderId="21" xfId="1" applyFill="1" applyBorder="1"/>
    <xf numFmtId="0" fontId="0" fillId="3" borderId="0" xfId="0" applyFill="1"/>
    <xf numFmtId="2" fontId="0" fillId="3" borderId="0" xfId="0" applyNumberFormat="1" applyFill="1"/>
    <xf numFmtId="0" fontId="0" fillId="0" borderId="2" xfId="0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1" xfId="1" applyFont="1" applyBorder="1"/>
    <xf numFmtId="0" fontId="0" fillId="0" borderId="30" xfId="1" applyFont="1" applyBorder="1"/>
    <xf numFmtId="0" fontId="9" fillId="0" borderId="0" xfId="0" applyFont="1"/>
    <xf numFmtId="0" fontId="6" fillId="0" borderId="46" xfId="1" applyBorder="1"/>
    <xf numFmtId="0" fontId="9" fillId="0" borderId="32" xfId="1" applyFont="1" applyBorder="1"/>
    <xf numFmtId="0" fontId="0" fillId="0" borderId="32" xfId="1" applyFont="1" applyBorder="1"/>
    <xf numFmtId="0" fontId="0" fillId="0" borderId="21" xfId="0" applyBorder="1"/>
    <xf numFmtId="0" fontId="0" fillId="0" borderId="20" xfId="0" applyBorder="1"/>
    <xf numFmtId="0" fontId="6" fillId="0" borderId="62" xfId="1" applyBorder="1" applyAlignment="1">
      <alignment horizontal="center" vertical="center"/>
    </xf>
    <xf numFmtId="0" fontId="6" fillId="0" borderId="63" xfId="1" applyBorder="1" applyAlignment="1">
      <alignment horizontal="center" vertical="center"/>
    </xf>
    <xf numFmtId="0" fontId="0" fillId="0" borderId="64" xfId="0" applyBorder="1"/>
    <xf numFmtId="1" fontId="6" fillId="3" borderId="62" xfId="1" applyNumberFormat="1" applyFill="1" applyBorder="1"/>
    <xf numFmtId="1" fontId="6" fillId="3" borderId="63" xfId="1" applyNumberFormat="1" applyFill="1" applyBorder="1"/>
    <xf numFmtId="0" fontId="6" fillId="0" borderId="62" xfId="1" applyBorder="1"/>
    <xf numFmtId="0" fontId="6" fillId="0" borderId="63" xfId="1" applyBorder="1"/>
    <xf numFmtId="0" fontId="6" fillId="3" borderId="65" xfId="1" applyFill="1" applyBorder="1"/>
    <xf numFmtId="0" fontId="6" fillId="3" borderId="66" xfId="1" applyFill="1" applyBorder="1"/>
    <xf numFmtId="0" fontId="0" fillId="0" borderId="67" xfId="0" applyBorder="1"/>
    <xf numFmtId="166" fontId="0" fillId="0" borderId="0" xfId="0" applyNumberFormat="1"/>
    <xf numFmtId="0" fontId="0" fillId="0" borderId="19" xfId="1" applyFont="1" applyBorder="1"/>
    <xf numFmtId="0" fontId="0" fillId="0" borderId="0" xfId="1" applyFont="1"/>
    <xf numFmtId="1" fontId="6" fillId="3" borderId="19" xfId="1" applyNumberFormat="1" applyFill="1" applyBorder="1"/>
    <xf numFmtId="0" fontId="0" fillId="0" borderId="18" xfId="1" applyFont="1" applyBorder="1"/>
    <xf numFmtId="8" fontId="0" fillId="0" borderId="18" xfId="1" applyNumberFormat="1" applyFont="1" applyBorder="1"/>
    <xf numFmtId="8" fontId="0" fillId="0" borderId="0" xfId="1" applyNumberFormat="1" applyFont="1"/>
    <xf numFmtId="0" fontId="0" fillId="0" borderId="51" xfId="1" applyFont="1" applyBorder="1"/>
    <xf numFmtId="8" fontId="0" fillId="0" borderId="0" xfId="1" quotePrefix="1" applyNumberFormat="1" applyFont="1"/>
    <xf numFmtId="1" fontId="6" fillId="8" borderId="0" xfId="1" applyNumberFormat="1" applyFill="1"/>
    <xf numFmtId="2" fontId="6" fillId="8" borderId="0" xfId="1" applyNumberFormat="1" applyFill="1"/>
    <xf numFmtId="0" fontId="16" fillId="8" borderId="0" xfId="1" applyFont="1" applyFill="1"/>
    <xf numFmtId="2" fontId="16" fillId="8" borderId="0" xfId="1" applyNumberFormat="1" applyFont="1" applyFill="1"/>
    <xf numFmtId="0" fontId="11" fillId="0" borderId="41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6" fillId="0" borderId="26" xfId="1" applyBorder="1"/>
    <xf numFmtId="0" fontId="6" fillId="0" borderId="68" xfId="1" applyBorder="1"/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165" fontId="18" fillId="0" borderId="0" xfId="0" applyNumberFormat="1" applyFont="1"/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18" fillId="0" borderId="0" xfId="0" applyNumberFormat="1" applyFont="1" applyAlignment="1">
      <alignment horizontal="center"/>
    </xf>
    <xf numFmtId="0" fontId="19" fillId="0" borderId="57" xfId="0" applyFont="1" applyBorder="1" applyAlignment="1">
      <alignment horizontal="center" vertical="center" wrapText="1"/>
    </xf>
    <xf numFmtId="164" fontId="19" fillId="0" borderId="56" xfId="0" applyNumberFormat="1" applyFont="1" applyBorder="1" applyAlignment="1">
      <alignment horizontal="center" vertical="center" wrapText="1"/>
    </xf>
    <xf numFmtId="165" fontId="18" fillId="0" borderId="69" xfId="0" applyNumberFormat="1" applyFont="1" applyBorder="1"/>
    <xf numFmtId="165" fontId="18" fillId="0" borderId="70" xfId="0" applyNumberFormat="1" applyFont="1" applyBorder="1"/>
    <xf numFmtId="165" fontId="18" fillId="0" borderId="55" xfId="0" applyNumberFormat="1" applyFont="1" applyBorder="1"/>
    <xf numFmtId="165" fontId="18" fillId="0" borderId="17" xfId="0" applyNumberFormat="1" applyFont="1" applyBorder="1"/>
    <xf numFmtId="0" fontId="16" fillId="3" borderId="23" xfId="0" applyFont="1" applyFill="1" applyBorder="1" applyAlignment="1">
      <alignment horizontal="center" vertical="center"/>
    </xf>
    <xf numFmtId="164" fontId="0" fillId="0" borderId="14" xfId="0" applyNumberFormat="1" applyBorder="1"/>
    <xf numFmtId="164" fontId="0" fillId="0" borderId="16" xfId="0" applyNumberFormat="1" applyBorder="1"/>
    <xf numFmtId="3" fontId="0" fillId="0" borderId="23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0" fontId="0" fillId="0" borderId="0" xfId="0" applyNumberFormat="1"/>
    <xf numFmtId="0" fontId="2" fillId="0" borderId="0" xfId="0" applyFont="1"/>
    <xf numFmtId="3" fontId="20" fillId="9" borderId="0" xfId="0" applyNumberFormat="1" applyFont="1" applyFill="1" applyAlignment="1">
      <alignment horizontal="center" vertical="center"/>
    </xf>
    <xf numFmtId="164" fontId="20" fillId="9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18" fillId="3" borderId="0" xfId="0" applyFont="1" applyFill="1" applyAlignment="1">
      <alignment horizontal="center"/>
    </xf>
    <xf numFmtId="164" fontId="18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12" xfId="0" applyFill="1" applyBorder="1" applyAlignment="1">
      <alignment horizontal="center" wrapText="1"/>
    </xf>
    <xf numFmtId="3" fontId="0" fillId="0" borderId="0" xfId="0" applyNumberFormat="1" applyAlignment="1">
      <alignment horizontal="left"/>
    </xf>
    <xf numFmtId="165" fontId="16" fillId="0" borderId="24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 wrapText="1"/>
    </xf>
    <xf numFmtId="49" fontId="0" fillId="3" borderId="0" xfId="0" applyNumberFormat="1" applyFill="1" applyAlignment="1">
      <alignment horizontal="left"/>
    </xf>
    <xf numFmtId="3" fontId="0" fillId="0" borderId="26" xfId="0" applyNumberFormat="1" applyBorder="1" applyAlignment="1">
      <alignment horizontal="left"/>
    </xf>
    <xf numFmtId="166" fontId="0" fillId="0" borderId="0" xfId="0" applyNumberFormat="1" applyAlignment="1">
      <alignment horizontal="left"/>
    </xf>
    <xf numFmtId="166" fontId="0" fillId="0" borderId="26" xfId="0" applyNumberFormat="1" applyBorder="1" applyAlignment="1">
      <alignment horizontal="left"/>
    </xf>
    <xf numFmtId="4" fontId="0" fillId="0" borderId="0" xfId="0" applyNumberFormat="1" applyAlignment="1">
      <alignment horizontal="left"/>
    </xf>
    <xf numFmtId="4" fontId="0" fillId="0" borderId="26" xfId="0" applyNumberFormat="1" applyBorder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26" xfId="0" applyNumberFormat="1" applyFont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0" xfId="0" applyAlignment="1">
      <alignment horizontal="left"/>
    </xf>
    <xf numFmtId="49" fontId="23" fillId="0" borderId="52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23" fillId="0" borderId="52" xfId="0" applyFont="1" applyBorder="1" applyAlignment="1">
      <alignment horizontal="left"/>
    </xf>
    <xf numFmtId="0" fontId="24" fillId="0" borderId="52" xfId="0" applyFont="1" applyBorder="1" applyAlignment="1">
      <alignment horizontal="left"/>
    </xf>
    <xf numFmtId="0" fontId="0" fillId="0" borderId="26" xfId="0" applyBorder="1" applyAlignment="1">
      <alignment horizontal="left"/>
    </xf>
    <xf numFmtId="1" fontId="0" fillId="0" borderId="0" xfId="0" applyNumberFormat="1" applyAlignment="1">
      <alignment horizontal="left"/>
    </xf>
    <xf numFmtId="1" fontId="0" fillId="0" borderId="26" xfId="0" applyNumberFormat="1" applyBorder="1" applyAlignment="1">
      <alignment horizontal="left"/>
    </xf>
    <xf numFmtId="0" fontId="23" fillId="0" borderId="22" xfId="0" applyFont="1" applyBorder="1" applyAlignment="1">
      <alignment horizontal="left"/>
    </xf>
    <xf numFmtId="10" fontId="0" fillId="0" borderId="21" xfId="0" applyNumberFormat="1" applyBorder="1" applyAlignment="1">
      <alignment horizontal="left"/>
    </xf>
    <xf numFmtId="10" fontId="0" fillId="0" borderId="20" xfId="0" applyNumberFormat="1" applyBorder="1" applyAlignment="1">
      <alignment horizontal="left"/>
    </xf>
    <xf numFmtId="0" fontId="26" fillId="10" borderId="0" xfId="0" applyFont="1" applyFill="1" applyAlignment="1">
      <alignment horizontal="left"/>
    </xf>
    <xf numFmtId="10" fontId="26" fillId="10" borderId="0" xfId="0" applyNumberFormat="1" applyFont="1" applyFill="1" applyAlignment="1">
      <alignment horizontal="left"/>
    </xf>
    <xf numFmtId="0" fontId="9" fillId="0" borderId="0" xfId="1" applyFont="1"/>
    <xf numFmtId="0" fontId="9" fillId="0" borderId="21" xfId="1" applyFont="1" applyBorder="1" applyAlignment="1">
      <alignment horizontal="left"/>
    </xf>
    <xf numFmtId="3" fontId="11" fillId="0" borderId="46" xfId="1" applyNumberFormat="1" applyFont="1" applyBorder="1" applyAlignment="1">
      <alignment horizontal="left"/>
    </xf>
    <xf numFmtId="3" fontId="11" fillId="0" borderId="22" xfId="1" applyNumberFormat="1" applyFont="1" applyBorder="1" applyAlignment="1">
      <alignment horizontal="left"/>
    </xf>
    <xf numFmtId="0" fontId="6" fillId="0" borderId="0" xfId="1" applyAlignment="1">
      <alignment horizontal="left"/>
    </xf>
    <xf numFmtId="0" fontId="0" fillId="0" borderId="0" xfId="1" applyFont="1" applyAlignment="1">
      <alignment horizontal="left"/>
    </xf>
    <xf numFmtId="3" fontId="11" fillId="0" borderId="46" xfId="1" applyNumberFormat="1" applyFont="1" applyBorder="1"/>
    <xf numFmtId="0" fontId="6" fillId="0" borderId="57" xfId="1" applyBorder="1"/>
    <xf numFmtId="0" fontId="6" fillId="0" borderId="55" xfId="1" applyBorder="1"/>
    <xf numFmtId="0" fontId="6" fillId="0" borderId="38" xfId="1" applyBorder="1" applyAlignment="1">
      <alignment horizontal="left"/>
    </xf>
    <xf numFmtId="0" fontId="6" fillId="0" borderId="57" xfId="1" applyBorder="1" applyAlignment="1">
      <alignment horizontal="left"/>
    </xf>
    <xf numFmtId="0" fontId="6" fillId="0" borderId="55" xfId="1" applyBorder="1" applyAlignment="1">
      <alignment horizontal="left"/>
    </xf>
    <xf numFmtId="0" fontId="6" fillId="0" borderId="21" xfId="1" applyBorder="1" applyAlignment="1">
      <alignment horizontal="center"/>
    </xf>
    <xf numFmtId="0" fontId="11" fillId="0" borderId="44" xfId="1" applyFont="1" applyBorder="1" applyAlignment="1">
      <alignment horizontal="center"/>
    </xf>
    <xf numFmtId="0" fontId="0" fillId="0" borderId="0" xfId="1" applyFont="1" applyAlignment="1">
      <alignment horizontal="center"/>
    </xf>
    <xf numFmtId="0" fontId="6" fillId="0" borderId="11" xfId="1" applyBorder="1" applyAlignment="1">
      <alignment horizontal="center"/>
    </xf>
    <xf numFmtId="0" fontId="6" fillId="0" borderId="13" xfId="1" applyBorder="1" applyAlignment="1">
      <alignment horizontal="center"/>
    </xf>
    <xf numFmtId="37" fontId="11" fillId="0" borderId="20" xfId="1" applyNumberFormat="1" applyFont="1" applyBorder="1" applyAlignment="1">
      <alignment horizontal="center"/>
    </xf>
    <xf numFmtId="8" fontId="6" fillId="0" borderId="0" xfId="1" applyNumberFormat="1" applyAlignment="1">
      <alignment horizontal="center"/>
    </xf>
    <xf numFmtId="8" fontId="6" fillId="0" borderId="38" xfId="1" applyNumberFormat="1" applyBorder="1" applyAlignment="1">
      <alignment horizontal="center"/>
    </xf>
    <xf numFmtId="8" fontId="6" fillId="3" borderId="0" xfId="1" applyNumberFormat="1" applyFill="1" applyAlignment="1">
      <alignment horizontal="center"/>
    </xf>
    <xf numFmtId="8" fontId="6" fillId="3" borderId="38" xfId="1" applyNumberFormat="1" applyFill="1" applyBorder="1" applyAlignment="1">
      <alignment horizontal="center"/>
    </xf>
    <xf numFmtId="165" fontId="6" fillId="3" borderId="0" xfId="1" applyNumberFormat="1" applyFill="1" applyAlignment="1">
      <alignment horizontal="center"/>
    </xf>
    <xf numFmtId="0" fontId="6" fillId="0" borderId="56" xfId="1" applyBorder="1" applyAlignment="1">
      <alignment horizontal="center"/>
    </xf>
    <xf numFmtId="8" fontId="6" fillId="0" borderId="17" xfId="1" applyNumberFormat="1" applyBorder="1" applyAlignment="1">
      <alignment horizontal="center"/>
    </xf>
    <xf numFmtId="0" fontId="11" fillId="0" borderId="44" xfId="1" applyFont="1" applyBorder="1" applyAlignment="1">
      <alignment horizontal="left"/>
    </xf>
    <xf numFmtId="0" fontId="11" fillId="0" borderId="21" xfId="1" applyFont="1" applyBorder="1" applyAlignment="1">
      <alignment horizontal="left"/>
    </xf>
    <xf numFmtId="3" fontId="11" fillId="0" borderId="0" xfId="1" applyNumberFormat="1" applyFont="1"/>
    <xf numFmtId="37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left"/>
    </xf>
    <xf numFmtId="0" fontId="0" fillId="0" borderId="35" xfId="1" applyFont="1" applyBorder="1" applyAlignment="1">
      <alignment horizontal="left"/>
    </xf>
    <xf numFmtId="8" fontId="6" fillId="0" borderId="35" xfId="1" applyNumberFormat="1" applyBorder="1" applyAlignment="1">
      <alignment horizontal="center"/>
    </xf>
    <xf numFmtId="0" fontId="0" fillId="0" borderId="35" xfId="1" applyFont="1" applyBorder="1"/>
    <xf numFmtId="3" fontId="11" fillId="0" borderId="44" xfId="1" applyNumberFormat="1" applyFont="1" applyBorder="1" applyAlignment="1">
      <alignment horizontal="left"/>
    </xf>
    <xf numFmtId="3" fontId="11" fillId="0" borderId="21" xfId="1" applyNumberFormat="1" applyFont="1" applyBorder="1" applyAlignment="1">
      <alignment horizontal="left"/>
    </xf>
    <xf numFmtId="0" fontId="16" fillId="3" borderId="0" xfId="1" applyFont="1" applyFill="1" applyAlignment="1">
      <alignment horizontal="center" vertical="center"/>
    </xf>
    <xf numFmtId="8" fontId="0" fillId="0" borderId="31" xfId="1" applyNumberFormat="1" applyFont="1" applyBorder="1"/>
    <xf numFmtId="8" fontId="16" fillId="3" borderId="0" xfId="1" applyNumberFormat="1" applyFont="1" applyFill="1"/>
    <xf numFmtId="8" fontId="6" fillId="3" borderId="0" xfId="1" applyNumberFormat="1" applyFill="1" applyAlignment="1">
      <alignment horizontal="right"/>
    </xf>
    <xf numFmtId="165" fontId="6" fillId="3" borderId="0" xfId="1" applyNumberFormat="1" applyFill="1" applyAlignment="1">
      <alignment horizontal="right"/>
    </xf>
    <xf numFmtId="0" fontId="22" fillId="9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6" fillId="0" borderId="23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11" borderId="72" xfId="0" applyFill="1" applyBorder="1" applyAlignment="1">
      <alignment horizontal="left" vertical="center"/>
    </xf>
    <xf numFmtId="37" fontId="0" fillId="0" borderId="0" xfId="5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165" fontId="0" fillId="0" borderId="11" xfId="0" applyNumberFormat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69" xfId="0" applyBorder="1" applyAlignment="1">
      <alignment horizontal="center" vertical="center"/>
    </xf>
    <xf numFmtId="164" fontId="0" fillId="0" borderId="70" xfId="0" applyNumberFormat="1" applyBorder="1" applyAlignment="1">
      <alignment horizontal="center" vertical="center"/>
    </xf>
    <xf numFmtId="37" fontId="0" fillId="0" borderId="70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3" fontId="0" fillId="12" borderId="35" xfId="5" applyNumberFormat="1" applyFont="1" applyFill="1" applyBorder="1" applyAlignment="1">
      <alignment horizontal="center" vertical="center"/>
    </xf>
    <xf numFmtId="164" fontId="0" fillId="12" borderId="35" xfId="0" applyNumberFormat="1" applyFill="1" applyBorder="1" applyAlignment="1">
      <alignment horizontal="center" vertical="center"/>
    </xf>
    <xf numFmtId="3" fontId="0" fillId="12" borderId="0" xfId="5" applyNumberFormat="1" applyFont="1" applyFill="1" applyBorder="1" applyAlignment="1">
      <alignment horizontal="center" vertical="center"/>
    </xf>
    <xf numFmtId="164" fontId="0" fillId="12" borderId="0" xfId="0" applyNumberFormat="1" applyFill="1" applyAlignment="1">
      <alignment horizontal="center" vertical="center"/>
    </xf>
    <xf numFmtId="3" fontId="0" fillId="12" borderId="13" xfId="5" applyNumberFormat="1" applyFont="1" applyFill="1" applyBorder="1" applyAlignment="1">
      <alignment horizontal="center" vertical="center"/>
    </xf>
    <xf numFmtId="164" fontId="0" fillId="12" borderId="13" xfId="0" applyNumberFormat="1" applyFill="1" applyBorder="1" applyAlignment="1">
      <alignment horizontal="center" vertical="center"/>
    </xf>
    <xf numFmtId="3" fontId="0" fillId="12" borderId="35" xfId="0" applyNumberFormat="1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164" fontId="18" fillId="12" borderId="74" xfId="0" applyNumberFormat="1" applyFont="1" applyFill="1" applyBorder="1" applyAlignment="1">
      <alignment horizontal="center" vertical="center"/>
    </xf>
    <xf numFmtId="164" fontId="18" fillId="12" borderId="70" xfId="0" applyNumberFormat="1" applyFont="1" applyFill="1" applyBorder="1" applyAlignment="1">
      <alignment horizontal="center" vertical="center"/>
    </xf>
    <xf numFmtId="164" fontId="18" fillId="12" borderId="17" xfId="0" applyNumberFormat="1" applyFont="1" applyFill="1" applyBorder="1" applyAlignment="1">
      <alignment horizontal="center" vertical="center"/>
    </xf>
    <xf numFmtId="0" fontId="22" fillId="9" borderId="70" xfId="0" applyFont="1" applyFill="1" applyBorder="1" applyAlignment="1">
      <alignment horizontal="center" vertical="center" wrapText="1"/>
    </xf>
    <xf numFmtId="164" fontId="16" fillId="0" borderId="70" xfId="0" applyNumberFormat="1" applyFont="1" applyBorder="1" applyAlignment="1">
      <alignment horizontal="center" vertical="center"/>
    </xf>
    <xf numFmtId="164" fontId="16" fillId="0" borderId="71" xfId="0" applyNumberFormat="1" applyFont="1" applyBorder="1" applyAlignment="1">
      <alignment horizontal="center" vertical="center"/>
    </xf>
    <xf numFmtId="164" fontId="16" fillId="0" borderId="77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3" fontId="0" fillId="12" borderId="13" xfId="0" applyNumberFormat="1" applyFill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8" fillId="12" borderId="35" xfId="0" applyNumberFormat="1" applyFont="1" applyFill="1" applyBorder="1" applyAlignment="1">
      <alignment horizontal="center" vertical="center"/>
    </xf>
    <xf numFmtId="164" fontId="18" fillId="12" borderId="0" xfId="0" applyNumberFormat="1" applyFont="1" applyFill="1" applyAlignment="1">
      <alignment horizontal="center" vertical="center"/>
    </xf>
    <xf numFmtId="164" fontId="18" fillId="12" borderId="13" xfId="0" applyNumberFormat="1" applyFont="1" applyFill="1" applyBorder="1" applyAlignment="1">
      <alignment horizontal="center" vertical="center"/>
    </xf>
    <xf numFmtId="0" fontId="22" fillId="9" borderId="69" xfId="0" applyFont="1" applyFill="1" applyBorder="1" applyAlignment="1">
      <alignment horizontal="center" vertical="center" wrapText="1"/>
    </xf>
    <xf numFmtId="164" fontId="16" fillId="0" borderId="76" xfId="0" applyNumberFormat="1" applyFont="1" applyBorder="1" applyAlignment="1">
      <alignment horizontal="center" vertical="center"/>
    </xf>
    <xf numFmtId="164" fontId="0" fillId="0" borderId="69" xfId="0" applyNumberFormat="1" applyBorder="1" applyAlignment="1">
      <alignment horizontal="center" vertical="center"/>
    </xf>
    <xf numFmtId="164" fontId="16" fillId="0" borderId="69" xfId="0" applyNumberFormat="1" applyFont="1" applyBorder="1" applyAlignment="1">
      <alignment horizontal="center" vertical="center"/>
    </xf>
    <xf numFmtId="0" fontId="22" fillId="9" borderId="79" xfId="0" applyFont="1" applyFill="1" applyBorder="1" applyAlignment="1">
      <alignment horizontal="center" vertical="center" wrapText="1"/>
    </xf>
    <xf numFmtId="0" fontId="22" fillId="9" borderId="80" xfId="0" applyFont="1" applyFill="1" applyBorder="1" applyAlignment="1">
      <alignment horizontal="center" vertical="center" wrapText="1"/>
    </xf>
    <xf numFmtId="0" fontId="22" fillId="9" borderId="78" xfId="0" applyFont="1" applyFill="1" applyBorder="1" applyAlignment="1">
      <alignment horizontal="center" vertical="center" wrapText="1"/>
    </xf>
    <xf numFmtId="164" fontId="18" fillId="13" borderId="73" xfId="0" applyNumberFormat="1" applyFont="1" applyFill="1" applyBorder="1" applyAlignment="1">
      <alignment horizontal="center" vertical="center"/>
    </xf>
    <xf numFmtId="164" fontId="18" fillId="13" borderId="35" xfId="0" applyNumberFormat="1" applyFont="1" applyFill="1" applyBorder="1" applyAlignment="1">
      <alignment horizontal="center" vertical="center"/>
    </xf>
    <xf numFmtId="164" fontId="18" fillId="13" borderId="74" xfId="0" applyNumberFormat="1" applyFont="1" applyFill="1" applyBorder="1" applyAlignment="1">
      <alignment horizontal="center" vertical="center"/>
    </xf>
    <xf numFmtId="164" fontId="18" fillId="13" borderId="69" xfId="0" applyNumberFormat="1" applyFont="1" applyFill="1" applyBorder="1" applyAlignment="1">
      <alignment horizontal="center" vertical="center"/>
    </xf>
    <xf numFmtId="164" fontId="18" fillId="13" borderId="0" xfId="0" applyNumberFormat="1" applyFont="1" applyFill="1" applyAlignment="1">
      <alignment horizontal="center" vertical="center"/>
    </xf>
    <xf numFmtId="164" fontId="18" fillId="13" borderId="70" xfId="0" applyNumberFormat="1" applyFont="1" applyFill="1" applyBorder="1" applyAlignment="1">
      <alignment horizontal="center" vertical="center"/>
    </xf>
    <xf numFmtId="164" fontId="18" fillId="13" borderId="55" xfId="0" applyNumberFormat="1" applyFont="1" applyFill="1" applyBorder="1" applyAlignment="1">
      <alignment horizontal="center" vertical="center"/>
    </xf>
    <xf numFmtId="164" fontId="18" fillId="13" borderId="13" xfId="0" applyNumberFormat="1" applyFont="1" applyFill="1" applyBorder="1" applyAlignment="1">
      <alignment horizontal="center" vertical="center"/>
    </xf>
    <xf numFmtId="164" fontId="18" fillId="13" borderId="17" xfId="0" applyNumberFormat="1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165" fontId="0" fillId="0" borderId="81" xfId="0" applyNumberForma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37" fontId="0" fillId="0" borderId="0" xfId="5" applyNumberFormat="1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37" fontId="0" fillId="0" borderId="71" xfId="5" applyNumberFormat="1" applyFont="1" applyFill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left" vertical="center"/>
    </xf>
    <xf numFmtId="0" fontId="16" fillId="0" borderId="0" xfId="0" applyFont="1"/>
    <xf numFmtId="0" fontId="0" fillId="3" borderId="71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/>
    </xf>
    <xf numFmtId="49" fontId="0" fillId="6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5" borderId="0" xfId="0" applyNumberFormat="1" applyFill="1" applyAlignment="1">
      <alignment horizontal="center"/>
    </xf>
    <xf numFmtId="49" fontId="0" fillId="6" borderId="12" xfId="0" applyNumberFormat="1" applyFill="1" applyBorder="1" applyAlignment="1">
      <alignment horizontal="center"/>
    </xf>
    <xf numFmtId="0" fontId="0" fillId="6" borderId="19" xfId="0" applyFill="1" applyBorder="1"/>
    <xf numFmtId="49" fontId="0" fillId="5" borderId="0" xfId="0" applyNumberFormat="1" applyFill="1" applyAlignment="1">
      <alignment horizontal="center" wrapText="1"/>
    </xf>
    <xf numFmtId="3" fontId="16" fillId="0" borderId="0" xfId="0" applyNumberFormat="1" applyFont="1"/>
    <xf numFmtId="0" fontId="27" fillId="0" borderId="73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2" fillId="9" borderId="0" xfId="0" applyFont="1" applyFill="1" applyAlignment="1">
      <alignment horizontal="center" vertical="center" wrapText="1"/>
    </xf>
    <xf numFmtId="0" fontId="22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5" fillId="0" borderId="44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3" borderId="59" xfId="1" applyFill="1" applyBorder="1" applyAlignment="1">
      <alignment horizontal="center"/>
    </xf>
    <xf numFmtId="0" fontId="6" fillId="3" borderId="60" xfId="1" applyFill="1" applyBorder="1" applyAlignment="1">
      <alignment horizontal="center"/>
    </xf>
    <xf numFmtId="0" fontId="6" fillId="3" borderId="61" xfId="1" applyFill="1" applyBorder="1" applyAlignment="1">
      <alignment horizontal="center"/>
    </xf>
    <xf numFmtId="0" fontId="6" fillId="0" borderId="34" xfId="1" applyBorder="1" applyAlignment="1">
      <alignment horizontal="center"/>
    </xf>
    <xf numFmtId="0" fontId="6" fillId="0" borderId="35" xfId="1" applyBorder="1" applyAlignment="1">
      <alignment horizontal="center"/>
    </xf>
    <xf numFmtId="0" fontId="6" fillId="0" borderId="51" xfId="1" applyBorder="1" applyAlignment="1">
      <alignment horizontal="center"/>
    </xf>
    <xf numFmtId="0" fontId="6" fillId="8" borderId="35" xfId="1" applyFill="1" applyBorder="1" applyAlignment="1">
      <alignment horizontal="center"/>
    </xf>
    <xf numFmtId="0" fontId="6" fillId="8" borderId="51" xfId="1" applyFill="1" applyBorder="1" applyAlignment="1">
      <alignment horizontal="center"/>
    </xf>
    <xf numFmtId="0" fontId="0" fillId="0" borderId="48" xfId="1" applyFont="1" applyBorder="1" applyAlignment="1">
      <alignment horizontal="center"/>
    </xf>
    <xf numFmtId="0" fontId="6" fillId="0" borderId="38" xfId="1" applyBorder="1" applyAlignment="1">
      <alignment horizontal="center"/>
    </xf>
    <xf numFmtId="0" fontId="0" fillId="0" borderId="38" xfId="1" applyFont="1" applyBorder="1" applyAlignment="1">
      <alignment horizontal="center"/>
    </xf>
    <xf numFmtId="0" fontId="6" fillId="0" borderId="47" xfId="1" applyBorder="1" applyAlignment="1">
      <alignment horizontal="center"/>
    </xf>
    <xf numFmtId="0" fontId="6" fillId="8" borderId="38" xfId="1" applyFill="1" applyBorder="1" applyAlignment="1">
      <alignment horizontal="center"/>
    </xf>
    <xf numFmtId="0" fontId="6" fillId="8" borderId="47" xfId="1" applyFill="1" applyBorder="1" applyAlignment="1">
      <alignment horizontal="center"/>
    </xf>
    <xf numFmtId="0" fontId="6" fillId="0" borderId="44" xfId="1" applyBorder="1" applyAlignment="1">
      <alignment horizontal="center"/>
    </xf>
    <xf numFmtId="0" fontId="6" fillId="0" borderId="43" xfId="1" applyBorder="1" applyAlignment="1">
      <alignment horizontal="center"/>
    </xf>
  </cellXfs>
  <cellStyles count="6">
    <cellStyle name="Comma" xfId="5" builtinId="3"/>
    <cellStyle name="Comma 3" xfId="3" xr:uid="{BE46153C-4583-439C-9213-6735AA43111E}"/>
    <cellStyle name="Comma 4" xfId="2" xr:uid="{87707464-C456-413E-A31F-C3AF256C2AF0}"/>
    <cellStyle name="Normal" xfId="0" builtinId="0"/>
    <cellStyle name="Normal 4" xfId="1" xr:uid="{A409C5AD-6F42-48DE-B9E1-5B964DF187B9}"/>
    <cellStyle name="Percent 2" xfId="4" xr:uid="{15067844-27CA-4186-B042-FE5C4A88BC5A}"/>
  </cellStyles>
  <dxfs count="149">
    <dxf>
      <fill>
        <patternFill patternType="solid">
          <fgColor auto="1"/>
          <bgColor rgb="FFF9BDBE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5E943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numFmt numFmtId="164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5E943C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E943C"/>
      <color rgb="FFF9BDBE"/>
      <color rgb="FFFFB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son\Projects\080-C005746%20Sunset%20Huntington%20Harbor%20Maint%20Dredging\Estimate\Archive\Estimate%20-%20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&amp; Hide"/>
      <sheetName val="ES"/>
      <sheetName val="BS"/>
      <sheetName val="PC"/>
      <sheetName val="Prod"/>
      <sheetName val="Delays"/>
      <sheetName val="Rental"/>
      <sheetName val="HOP"/>
      <sheetName val="oldXCAV"/>
      <sheetName val="CSD"/>
      <sheetName val="Blasting"/>
      <sheetName val="TOW"/>
      <sheetName val="CLAM"/>
      <sheetName val="XCAV"/>
      <sheetName val="Wear"/>
      <sheetName val="Quantity"/>
      <sheetName val="DEMOB1"/>
      <sheetName val="MOB1"/>
      <sheetName val="FO"/>
      <sheetName val="DR"/>
      <sheetName val="Wages - Hopper (IBU)"/>
      <sheetName val="Wages - Local 25"/>
      <sheetName val="Wages - Gulf CSD"/>
      <sheetName val="Wages - MGulf"/>
      <sheetName val="Wages - Jax"/>
      <sheetName val="Wages - Local 12"/>
      <sheetName val="Wages - SoCal (IBU)"/>
      <sheetName val="Wages - Puget Sound (IBU)"/>
      <sheetName val="Wages - Local 3"/>
      <sheetName val="Wages - Local 701"/>
      <sheetName val="Wages - Local 302"/>
      <sheetName val="Wages - Local 302-AK"/>
      <sheetName val="Wave Analysis"/>
      <sheetName val="HCA"/>
      <sheetName val="Past Bid on Current Quantities"/>
      <sheetName val="Haz-Rec"/>
      <sheetName val="Chart of Accounts"/>
      <sheetName val="Sheet2"/>
    </sheetNames>
    <sheetDataSet>
      <sheetData sheetId="0"/>
      <sheetData sheetId="1">
        <row r="3">
          <cell r="B3" t="str">
            <v>County of Orange</v>
          </cell>
        </row>
        <row r="4">
          <cell r="B4" t="str">
            <v>Huntington Harbor Maintenance Dredging and Waterline Installation</v>
          </cell>
          <cell r="I4" t="str">
            <v>YS</v>
          </cell>
        </row>
        <row r="5">
          <cell r="I5">
            <v>42339.60122916667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dam Lucey" id="{B697BFAB-8431-4AB7-A790-469E71B4AC39}" userId="S::aLucey@taylorengineering.com::61096d8d-5b2a-4519-97ee-a417aea0cc4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7B59AB-643C-424D-8B22-77F6766ED0F6}" name="Table1" displayName="Table1" ref="B5:S21" totalsRowShown="0" headerRowDxfId="145" dataDxfId="144">
  <autoFilter ref="B5:S21" xr:uid="{FB7B59AB-643C-424D-8B22-77F6766ED0F6}"/>
  <tableColumns count="18">
    <tableColumn id="1" xr3:uid="{A87278B4-15D1-4999-BECF-EE80C85A4E85}" name="CANAL NAME" dataDxfId="143"/>
    <tableColumn id="2" xr3:uid="{999DD6B2-C18C-41E8-96DF-D2305D44E1A7}" name="Column2" dataDxfId="142"/>
    <tableColumn id="3" xr3:uid="{8C99FED5-A915-44AC-93A8-F132B390B10B}" name="Column3" dataDxfId="141">
      <calculatedColumnFormula>B5&amp;"-"&amp;C6</calculatedColumnFormula>
    </tableColumn>
    <tableColumn id="4" xr3:uid="{E3F0E073-1E6E-40CE-BC76-E6D18ABE5597}" name="Classification" dataDxfId="140">
      <calculatedColumnFormula>_xlfn.XLOOKUP(D6,Table!D:D,Table!E:E)</calculatedColumnFormula>
    </tableColumn>
    <tableColumn id="5" xr3:uid="{20D6084F-B00C-4BF4-BE0F-1D7C427E9E5F}" name="Estimated Dredge Quantities" dataDxfId="139" dataCellStyle="Comma">
      <calculatedColumnFormula>_xlfn.XLOOKUP(D6,Table!D:D,Table!S:S)</calculatedColumnFormula>
    </tableColumn>
    <tableColumn id="6" xr3:uid="{2C357E91-975F-4635-B5FA-CA2486A553FF}" name="Insurance/Bonding" dataDxfId="138">
      <calculatedColumnFormula>(AVERAGEIF(Table!F:F,E$4,Table!K:K))*F5</calculatedColumnFormula>
    </tableColumn>
    <tableColumn id="7" xr3:uid="{24A7C479-258E-4F58-A826-0BAB9B70311D}" name="Mob/Demob (LS)" dataDxfId="137">
      <calculatedColumnFormula>(SUMIF(Table!F:F,E$4,Table!L:L))/(COUNTIF(Table!F:F,E$4))</calculatedColumnFormula>
    </tableColumn>
    <tableColumn id="8" xr3:uid="{C9CC7734-CDFB-4257-A7C2-76F14A638DA4}" name="Dredging &amp; Placement" dataDxfId="136">
      <calculatedColumnFormula>(AVERAGEIF(Table!F:F,E$4,Table!AA:AA))*F5</calculatedColumnFormula>
    </tableColumn>
    <tableColumn id="9" xr3:uid="{3F3F42BF-7646-476F-8FA9-77A90C86AA62}" name="Environmental Protection" dataDxfId="135">
      <calculatedColumnFormula>(AVERAGEIF(Table!F:F,E$4,Table!AI:AI))*F5</calculatedColumnFormula>
    </tableColumn>
    <tableColumn id="10" xr3:uid="{FC9C31F6-3CE5-4AD3-8166-BEB58E6F197E}" name="Seagrass Transplanting &amp; Monitoring" dataDxfId="134">
      <calculatedColumnFormula>_xlfn.XLOOKUP(D6,Table!D:D,Table!AD:AD)</calculatedColumnFormula>
    </tableColumn>
    <tableColumn id="11" xr3:uid="{C4BCBA4A-2866-454C-8FCE-646E5EE2AA0D}" name="Engineering Fees - Plans, Design &amp; Specs" dataDxfId="133">
      <calculatedColumnFormula>SUM(G6:K6)*0.1</calculatedColumnFormula>
    </tableColumn>
    <tableColumn id="12" xr3:uid="{9360F178-6E1B-4D32-8E0B-665267FB0CB7}" name="Construction Administration" dataDxfId="132">
      <calculatedColumnFormula>SUM(G6:K6)*0.05</calculatedColumnFormula>
    </tableColumn>
    <tableColumn id="13" xr3:uid="{657C1FEC-72F1-4966-A655-B511785772B3}" name="Total Estimate - Current FY" dataDxfId="131">
      <calculatedColumnFormula>SUM(G6:M6)</calculatedColumnFormula>
    </tableColumn>
    <tableColumn id="14" xr3:uid="{FBFFC47E-D1A4-496D-B1C4-AED289749AF4}" name="FY 2024" dataDxfId="130">
      <calculatedColumnFormula>(LOOKUP(2024,Lists!$A$10:$A$15,Lists!$D$10:$D$15))*Table1[[#This Row],[Total Estimate - Current FY]]</calculatedColumnFormula>
    </tableColumn>
    <tableColumn id="15" xr3:uid="{D508CFBB-AD32-4A20-AC83-C67981890F74}" name="FY 2025" dataDxfId="129">
      <calculatedColumnFormula>(LOOKUP(2025,Lists!$A$10:$A$15,Lists!$D$10:$D$15))*Table1[[#This Row],[Total Estimate - Current FY]]</calculatedColumnFormula>
    </tableColumn>
    <tableColumn id="16" xr3:uid="{EA9761A4-0BD1-498D-AC11-C1B320B04DC1}" name="FY 2026" dataDxfId="128">
      <calculatedColumnFormula>(LOOKUP(2026,Lists!$A$10:$A$15,Lists!$D$10:$D$15))*Table1[[#This Row],[Total Estimate - Current FY]]</calculatedColumnFormula>
    </tableColumn>
    <tableColumn id="17" xr3:uid="{BB2BC49C-8C3E-403C-B9CA-5F0EAA600699}" name="FY 2027" dataDxfId="127">
      <calculatedColumnFormula>(LOOKUP(2027,Lists!$A$10:$A$15,Lists!$D$10:$D$15))*Table1[[#This Row],[Total Estimate - Current FY]]</calculatedColumnFormula>
    </tableColumn>
    <tableColumn id="18" xr3:uid="{D0065C97-F96B-4B8C-8BF4-DB1B649939FD}" name="FY 2028" dataDxfId="126">
      <calculatedColumnFormula>(LOOKUP(2028,Lists!$A$10:$A$15,Lists!$D$10:$D$15))*Table1[[#This Row],[Total Estimate - Current FY]]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667386-D637-45E9-A8E4-F10834751988}" name="Table14" displayName="Table14" ref="B28:S46" totalsRowShown="0" headerRowDxfId="125" dataDxfId="124">
  <autoFilter ref="B28:S46" xr:uid="{17667386-D637-45E9-A8E4-F10834751988}"/>
  <tableColumns count="18">
    <tableColumn id="1" xr3:uid="{7ABA247B-A557-4CD7-8341-D5FFBCF1D7B7}" name="CANAL NAME" dataDxfId="123"/>
    <tableColumn id="2" xr3:uid="{9540A678-30D5-41F0-8B03-4A69FB1DE588}" name="Column2" dataDxfId="122"/>
    <tableColumn id="3" xr3:uid="{7310BAA7-CE42-4748-899F-4108C8EABAF1}" name="Column3" dataDxfId="121">
      <calculatedColumnFormula>B29&amp;"-"&amp;C29</calculatedColumnFormula>
    </tableColumn>
    <tableColumn id="4" xr3:uid="{D033FF7A-7D42-43FD-9B1B-97C700FE97B7}" name="Classification" dataDxfId="120">
      <calculatedColumnFormula>_xlfn.XLOOKUP(D29,Table!D:D,Table!E:E)</calculatedColumnFormula>
    </tableColumn>
    <tableColumn id="5" xr3:uid="{23123484-7BA8-4E8E-AFD4-FD34CED63E19}" name="Estimated Dredge Quantities" dataDxfId="119" dataCellStyle="Comma">
      <calculatedColumnFormula>_xlfn.XLOOKUP(D29,Table!D:D,Table!S:S)</calculatedColumnFormula>
    </tableColumn>
    <tableColumn id="6" xr3:uid="{1E64F42C-A8C1-4ADA-8217-3EE4D3E3826E}" name="Insurance/Bonding" dataDxfId="118">
      <calculatedColumnFormula>(AVERAGEIF(Table!F:F,E$4,Table!K:K))*F29</calculatedColumnFormula>
    </tableColumn>
    <tableColumn id="7" xr3:uid="{C195F548-9C80-4B70-98E4-5CE96A47199E}" name="Mob/Demob (LS)" dataDxfId="117">
      <calculatedColumnFormula>(SUMIF(Table!F:F,E$4,Table!L:L))/(COUNTIF(Table!F:F,E$4))</calculatedColumnFormula>
    </tableColumn>
    <tableColumn id="8" xr3:uid="{14D9D5D4-0706-4221-954B-2A437D1293BE}" name="Dredging &amp; Placement" dataDxfId="116">
      <calculatedColumnFormula>(AVERAGEIF(Table!F:F,E$4,Table!AA:AA))*F29</calculatedColumnFormula>
    </tableColumn>
    <tableColumn id="9" xr3:uid="{2472C2F0-5B36-4AA2-8A5F-B5579F397CEC}" name="Environmental Protection" dataDxfId="115">
      <calculatedColumnFormula>(AVERAGEIF(Table!F:F,E$4,Table!AI:AI))*F29</calculatedColumnFormula>
    </tableColumn>
    <tableColumn id="10" xr3:uid="{7F825C4C-E674-4B2F-BAD8-CA5EF14114AF}" name="Seagrass Transplanting &amp; Monitoring" dataDxfId="114">
      <calculatedColumnFormula>_xlfn.XLOOKUP(D29,Table!D:D,Table!AD:AD)</calculatedColumnFormula>
    </tableColumn>
    <tableColumn id="11" xr3:uid="{AC989B83-D78F-4D25-B3E6-F4900AA30038}" name="Engineering Fees - Plans, Design &amp; Specs" dataDxfId="113">
      <calculatedColumnFormula>SUM(G29:K29)*0.1</calculatedColumnFormula>
    </tableColumn>
    <tableColumn id="12" xr3:uid="{577C2FDA-0A4A-4523-A2F9-BD8DED0EDD37}" name="Construction Administration" dataDxfId="112">
      <calculatedColumnFormula>SUM(G29:K29)*0.05</calculatedColumnFormula>
    </tableColumn>
    <tableColumn id="13" xr3:uid="{0133F432-5495-4053-B8D9-5AFD1DFC4A72}" name="Total Estimate - Current FY" dataDxfId="111">
      <calculatedColumnFormula>SUM(G29:M29)</calculatedColumnFormula>
    </tableColumn>
    <tableColumn id="14" xr3:uid="{E8E5ECAB-F686-478E-99FF-6729B33A1B1F}" name="FY 2024" dataDxfId="110">
      <calculatedColumnFormula>(LOOKUP(2024,Lists!$A$10:$A$15,Lists!$D$10:$D$15))*Table14[[#This Row],[Total Estimate - Current FY]]</calculatedColumnFormula>
    </tableColumn>
    <tableColumn id="15" xr3:uid="{B52F08F3-A997-481E-8D81-96AE9BBE8331}" name="FY 2025" dataDxfId="109">
      <calculatedColumnFormula>(LOOKUP(2025,Lists!$A$10:$A$15,Lists!$D$10:$D$15))*Table14[[#This Row],[Total Estimate - Current FY]]</calculatedColumnFormula>
    </tableColumn>
    <tableColumn id="16" xr3:uid="{C6DE846C-524D-4229-A34D-4FEF1928E8B7}" name="FY 2026" dataDxfId="108">
      <calculatedColumnFormula>(LOOKUP(2026,Lists!$A$10:$A$15,Lists!$D$10:$D$15))*Table14[[#This Row],[Total Estimate - Current FY]]</calculatedColumnFormula>
    </tableColumn>
    <tableColumn id="17" xr3:uid="{1995F1B3-F8D3-4521-A1DF-1B433F41CFB4}" name="FY 2027" dataDxfId="107">
      <calculatedColumnFormula>(LOOKUP(2027,Lists!$A$10:$A$15,Lists!$D$10:$D$15))*Table14[[#This Row],[Total Estimate - Current FY]]</calculatedColumnFormula>
    </tableColumn>
    <tableColumn id="18" xr3:uid="{581D8029-0C81-4EC4-8B33-F3E2E2AA7683}" name="FY 2028" dataDxfId="106">
      <calculatedColumnFormula>(LOOKUP(2028,Lists!$A$10:$A$15,Lists!$D$10:$D$15))*Table14[[#This Row],[Total Estimate - Current FY]]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7F8651-C337-4417-A68A-121B64D86085}" name="Table145" displayName="Table145" ref="B53:S65" totalsRowShown="0" headerRowDxfId="105" dataDxfId="104">
  <autoFilter ref="B53:S65" xr:uid="{4E7F8651-C337-4417-A68A-121B64D86085}"/>
  <tableColumns count="18">
    <tableColumn id="1" xr3:uid="{81F682C6-FE0B-4397-ABFA-94457E660FBE}" name="CANAL NAME" dataDxfId="103"/>
    <tableColumn id="2" xr3:uid="{000FF934-F638-4504-8705-8ECC8EBDD5B3}" name="Column2" dataDxfId="102"/>
    <tableColumn id="3" xr3:uid="{531363BB-6F45-4BE4-B50B-9523239C217B}" name="Column3" dataDxfId="101">
      <calculatedColumnFormula>B54&amp;"-"&amp;C54</calculatedColumnFormula>
    </tableColumn>
    <tableColumn id="4" xr3:uid="{D7526FBF-3C37-4FA3-BBB6-B1FA9517402D}" name="Classification" dataDxfId="100">
      <calculatedColumnFormula>_xlfn.XLOOKUP(D54,Table!D:D,Table!E:E)</calculatedColumnFormula>
    </tableColumn>
    <tableColumn id="5" xr3:uid="{9CFEB1E9-46E0-4B1A-879E-ECF3CDCB7E6C}" name="Estimated Dredge Quantities" dataDxfId="99" dataCellStyle="Comma">
      <calculatedColumnFormula>_xlfn.XLOOKUP(D54,Table!D:D,Table!S:S)</calculatedColumnFormula>
    </tableColumn>
    <tableColumn id="6" xr3:uid="{DE20EE55-739F-43C5-AE3B-0E8B12A226B6}" name="Insurance/Bonding" dataDxfId="98">
      <calculatedColumnFormula>(AVERAGEIF(Table!F:F,E$27,Table!K:K))*F54</calculatedColumnFormula>
    </tableColumn>
    <tableColumn id="7" xr3:uid="{8685EC86-4246-44E8-AC8C-32B04CA4CBC3}" name="Mob/Demob (LS)" dataDxfId="97">
      <calculatedColumnFormula>(SUMIF(Table!F:F,E$27,Table!L:L))/(COUNTIF(Table!F:F,E$27))</calculatedColumnFormula>
    </tableColumn>
    <tableColumn id="8" xr3:uid="{E77F12FD-2F85-4214-85E1-391C7D68C242}" name="Dredging &amp; Placement" dataDxfId="96">
      <calculatedColumnFormula>(AVERAGEIF(Table!F:F,E$27,Table!AA:AA))*F54</calculatedColumnFormula>
    </tableColumn>
    <tableColumn id="9" xr3:uid="{9796651A-1B52-44AF-B272-E986D5AB7807}" name="Environmental Protection" dataDxfId="95">
      <calculatedColumnFormula>(AVERAGEIF(Table!F:F,E$27,Table!AI:AI))*F54</calculatedColumnFormula>
    </tableColumn>
    <tableColumn id="10" xr3:uid="{5C251C89-3A68-454D-B022-009AF48EBB32}" name="Seagrass Transplanting &amp; Monitoring" dataDxfId="94">
      <calculatedColumnFormula>_xlfn.XLOOKUP(D54,Table!D:D,Table!AD:AD)</calculatedColumnFormula>
    </tableColumn>
    <tableColumn id="11" xr3:uid="{CB212191-1AA4-49CA-8AF6-AEBC6C020999}" name="Engineering Fees - Plans, Design &amp; Specs" dataDxfId="93">
      <calculatedColumnFormula>SUM(G54:K54)*0.1</calculatedColumnFormula>
    </tableColumn>
    <tableColumn id="12" xr3:uid="{8EE14D45-1F42-4E01-BD32-9F20C7A16532}" name="Construction Administration" dataDxfId="92">
      <calculatedColumnFormula>SUM(G54:K54)*0.05</calculatedColumnFormula>
    </tableColumn>
    <tableColumn id="13" xr3:uid="{12841313-A74F-4D32-98CA-BC75A51A02D5}" name="Total Estimate - Current FY" dataDxfId="91">
      <calculatedColumnFormula>SUM(G54:M54)</calculatedColumnFormula>
    </tableColumn>
    <tableColumn id="14" xr3:uid="{A04EAB31-4FBC-4341-B7A0-7808B63DEA71}" name="FY 2024" dataDxfId="90">
      <calculatedColumnFormula>(LOOKUP(2024,Lists!$A$10:$A$15,Lists!$D$10:$D$15))*N54</calculatedColumnFormula>
    </tableColumn>
    <tableColumn id="15" xr3:uid="{861751E6-7919-43E1-ACD4-23B55363A4DB}" name="FY 2025" dataDxfId="89">
      <calculatedColumnFormula>(LOOKUP(2025,Lists!$A$10:$A$15,Lists!$D$10:$D$15))*Table145[[#This Row],[Total Estimate - Current FY]]</calculatedColumnFormula>
    </tableColumn>
    <tableColumn id="16" xr3:uid="{5EEFD5ED-4544-4B89-8D0B-529AD84D2F09}" name="FY 2026" dataDxfId="88">
      <calculatedColumnFormula>(LOOKUP(2026,Lists!$A$10:$A$15,Lists!$D$10:$D$15))*Table145[[#This Row],[Total Estimate - Current FY]]</calculatedColumnFormula>
    </tableColumn>
    <tableColumn id="17" xr3:uid="{F18AAD3A-F829-417F-AB94-B39A4B700BF2}" name="FY 2027" dataDxfId="87">
      <calculatedColumnFormula>(LOOKUP(2027,Lists!$A$10:$A$15,Lists!$D$10:$D$15))*Table145[[#This Row],[Total Estimate - Current FY]]</calculatedColumnFormula>
    </tableColumn>
    <tableColumn id="18" xr3:uid="{86067255-9AA5-4007-842C-E99675CD4991}" name="FY 2028" dataDxfId="86">
      <calculatedColumnFormula>(LOOKUP(2028,Lists!$A$10:$A$15,Lists!$D$10:$D$15))*Table145[[#This Row],[Total Estimate - Current FY]]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1FCFE8-FE47-4B70-8067-73EB83DF88C6}" name="Table1456" displayName="Table1456" ref="B72:S88" totalsRowShown="0" headerRowDxfId="85" dataDxfId="84">
  <autoFilter ref="B72:S88" xr:uid="{6D1FCFE8-FE47-4B70-8067-73EB83DF88C6}"/>
  <sortState xmlns:xlrd2="http://schemas.microsoft.com/office/spreadsheetml/2017/richdata2" ref="B73:S88">
    <sortCondition ref="B72:B88"/>
  </sortState>
  <tableColumns count="18">
    <tableColumn id="1" xr3:uid="{1B8B5B97-F127-4013-9C12-06088ADF0221}" name="CANAL NAME" dataDxfId="83"/>
    <tableColumn id="2" xr3:uid="{74900A65-FD41-4851-85B0-D48024CBEA06}" name="Column2" dataDxfId="82"/>
    <tableColumn id="3" xr3:uid="{AAA8DE3E-A5FD-472C-A0E2-66DE1EA9EA64}" name="Column3" dataDxfId="81">
      <calculatedColumnFormula>B73&amp;"-"&amp;C73</calculatedColumnFormula>
    </tableColumn>
    <tableColumn id="4" xr3:uid="{46C5DE92-227A-4ECA-90E9-E7061F4147B2}" name="Classification" dataDxfId="80">
      <calculatedColumnFormula>_xlfn.XLOOKUP(D73,Table!D:D,Table!E:E)</calculatedColumnFormula>
    </tableColumn>
    <tableColumn id="5" xr3:uid="{C4F5939D-8745-4D15-BB57-B08BA6757050}" name="Estimated Dredge Quantities" dataDxfId="79" dataCellStyle="Comma">
      <calculatedColumnFormula>_xlfn.XLOOKUP(D73,Table!D:D,Table!S:S)</calculatedColumnFormula>
    </tableColumn>
    <tableColumn id="6" xr3:uid="{5D8ACA51-1D07-40E9-B916-95DD9922B3C9}" name="Insurance/Bonding" dataDxfId="78">
      <calculatedColumnFormula>(AVERAGEIF(Table!F:F,E$52,Table!K:K))*F73</calculatedColumnFormula>
    </tableColumn>
    <tableColumn id="7" xr3:uid="{5C83C67E-06E8-475A-94FC-0268748A8C09}" name="Mob/Demob (LS)" dataDxfId="77">
      <calculatedColumnFormula>(SUMIF(Table!F:F,E$52,Table!L:L))/(COUNTIF(Table!F:F,E$52))</calculatedColumnFormula>
    </tableColumn>
    <tableColumn id="8" xr3:uid="{E767CDD9-4D05-4A6D-9553-8740410E4506}" name="Dredging &amp; Placement" dataDxfId="76">
      <calculatedColumnFormula>(AVERAGEIF(Table!F:F,E$52,Table!AA:AA))*F73</calculatedColumnFormula>
    </tableColumn>
    <tableColumn id="9" xr3:uid="{6F54DC8F-E67B-461A-8DD3-224DC64AA31B}" name="Environmental Protection" dataDxfId="75">
      <calculatedColumnFormula>(AVERAGEIF(Table!F:F,E$52,Table!AI:AI))*F73</calculatedColumnFormula>
    </tableColumn>
    <tableColumn id="10" xr3:uid="{A9AEFDFF-78F5-440A-B508-E3D827588DFB}" name="Seagrass Transplanting &amp; Monitoring" dataDxfId="74">
      <calculatedColumnFormula>_xlfn.XLOOKUP(D73,Table!D:D,Table!AD:AD)</calculatedColumnFormula>
    </tableColumn>
    <tableColumn id="11" xr3:uid="{9FBC2EBC-6ED4-446A-9598-68D90E16E26F}" name="Engineering Fees - Plans, Design &amp; Specs" dataDxfId="73">
      <calculatedColumnFormula>SUM(G73:K73)*0.1</calculatedColumnFormula>
    </tableColumn>
    <tableColumn id="12" xr3:uid="{519401AC-9A46-4372-9C92-A431F52C0DA0}" name="Construction Administration" dataDxfId="72">
      <calculatedColumnFormula>SUM(G73:K73)*0.05</calculatedColumnFormula>
    </tableColumn>
    <tableColumn id="13" xr3:uid="{497733B6-6C94-4EDE-B49A-4D221EF562EE}" name="Total Estimate - Current FY" dataDxfId="71">
      <calculatedColumnFormula>SUM(G73:M73)</calculatedColumnFormula>
    </tableColumn>
    <tableColumn id="14" xr3:uid="{3D976EB5-9012-4AE3-B387-CFACFB4A4218}" name="FY 2024" dataDxfId="70">
      <calculatedColumnFormula>(LOOKUP(2024,Lists!$A$10:$A$15,Lists!$D$10:$D$15))*Table1456[[#This Row],[Total Estimate - Current FY]]</calculatedColumnFormula>
    </tableColumn>
    <tableColumn id="15" xr3:uid="{0B94C45A-116F-42AB-82AF-3CF43B370C23}" name="FY 2025" dataDxfId="69">
      <calculatedColumnFormula>(LOOKUP(2025,Lists!$A$10:$A$15,Lists!$D$10:$D$15))*Table1456[[#This Row],[Total Estimate - Current FY]]</calculatedColumnFormula>
    </tableColumn>
    <tableColumn id="16" xr3:uid="{394969B5-C4A3-43D4-9E2F-C1D22C6CCD8B}" name="FY 2026" dataDxfId="68">
      <calculatedColumnFormula>(LOOKUP(2026,Lists!$A$10:$A$15,Lists!$D$10:$D$15))*Table1456[[#This Row],[Total Estimate - Current FY]]</calculatedColumnFormula>
    </tableColumn>
    <tableColumn id="17" xr3:uid="{D0E70483-EDB5-4B34-89C2-665D3709D204}" name="FY 2027" dataDxfId="67">
      <calculatedColumnFormula>(LOOKUP(2027,Lists!$A$10:$A$15,Lists!$D$10:$D$15))*Table1456[[#This Row],[Total Estimate - Current FY]]</calculatedColumnFormula>
    </tableColumn>
    <tableColumn id="18" xr3:uid="{30C004CF-AD0E-4B70-AF4B-54A8DD59F91B}" name="FY 2028" dataDxfId="66">
      <calculatedColumnFormula>(LOOKUP(2028,Lists!$A$10:$A$15,Lists!$D$10:$D$15))*Table1456[[#This Row],[Total Estimate - Current FY]]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CDAD4B7-4808-49BF-860B-144CAABA0A57}" name="Table1478" displayName="Table1478" ref="B117:S138" totalsRowShown="0" headerRowDxfId="65" dataDxfId="64">
  <autoFilter ref="B117:S138" xr:uid="{BCDAD4B7-4808-49BF-860B-144CAABA0A57}"/>
  <tableColumns count="18">
    <tableColumn id="1" xr3:uid="{8C8AA2BB-A886-46FE-9014-0C4B87C25EE0}" name="CANAL NAME" dataDxfId="63"/>
    <tableColumn id="2" xr3:uid="{90858942-FBF6-4491-A393-CE804493BAC3}" name="Column2" dataDxfId="62"/>
    <tableColumn id="3" xr3:uid="{AF36222C-7F77-4B64-86F6-2E80918DDCBB}" name="Column3" dataDxfId="61">
      <calculatedColumnFormula>B118&amp;"-"&amp;C118</calculatedColumnFormula>
    </tableColumn>
    <tableColumn id="4" xr3:uid="{D870856B-3FAA-46F6-AEC6-E5CC4FAC8F36}" name="Classification" dataDxfId="60">
      <calculatedColumnFormula>_xlfn.XLOOKUP(D118,Table!D:D,Table!E:E)</calculatedColumnFormula>
    </tableColumn>
    <tableColumn id="5" xr3:uid="{4A4B9C85-3BDE-401C-96AF-EC7A32ED11FC}" name="Estimated Dredge Quantities" dataDxfId="59" dataCellStyle="Comma">
      <calculatedColumnFormula>_xlfn.XLOOKUP(D118,Table!D:D,Table!S:S)</calculatedColumnFormula>
    </tableColumn>
    <tableColumn id="6" xr3:uid="{5FD0CBE3-D802-4965-8430-A324267A91A3}" name="Insurance/Bonding" dataDxfId="58">
      <calculatedColumnFormula>(AVERAGEIF(Table!F:F,#REF!,Table!K:K))*F118</calculatedColumnFormula>
    </tableColumn>
    <tableColumn id="7" xr3:uid="{0DB85113-0CE0-4B4E-AFA0-57B5BE8DE99B}" name="Mob/Demob (LS)" dataDxfId="57">
      <calculatedColumnFormula>(SUMIF(Table!F:F,#REF!,Table!L:L))/(COUNTIF(Table!F:F,#REF!))</calculatedColumnFormula>
    </tableColumn>
    <tableColumn id="8" xr3:uid="{4CA61664-F083-438A-AFB2-5D783351FC15}" name="Dredging &amp; Placement" dataDxfId="56">
      <calculatedColumnFormula>(AVERAGEIF(Table!F:F,#REF!,Table!AA:AA))*F118</calculatedColumnFormula>
    </tableColumn>
    <tableColumn id="9" xr3:uid="{B2F35513-D6B3-4026-A738-27632E1375B7}" name="Environmental Protection" dataDxfId="55">
      <calculatedColumnFormula>(AVERAGEIF(Table!F:F,#REF!,Table!AI:AI))*F118</calculatedColumnFormula>
    </tableColumn>
    <tableColumn id="10" xr3:uid="{8D3A8D62-E265-41A1-8C00-934ACB3FC8C5}" name="Seagrass Transplanting &amp; Monitoring" dataDxfId="54">
      <calculatedColumnFormula>_xlfn.XLOOKUP(D118,Table!D:D,Table!AD:AD)</calculatedColumnFormula>
    </tableColumn>
    <tableColumn id="11" xr3:uid="{32C69663-7512-4A1E-BCE2-74ED4EEB34F0}" name="Engineering Fees - Plans, Design &amp; Specs" dataDxfId="53">
      <calculatedColumnFormula>SUM(G118:K118)*0.1</calculatedColumnFormula>
    </tableColumn>
    <tableColumn id="12" xr3:uid="{88F1E057-99E3-4D5E-9D1A-EB86EEBF32F6}" name="Construction Administration" dataDxfId="52">
      <calculatedColumnFormula>SUM(G118:K118)*0.05</calculatedColumnFormula>
    </tableColumn>
    <tableColumn id="13" xr3:uid="{958C1CE3-0210-4E17-8DD4-144D94AFF7C6}" name="Total Estimate - Current FY" dataDxfId="51">
      <calculatedColumnFormula>SUM(G118:M118)</calculatedColumnFormula>
    </tableColumn>
    <tableColumn id="14" xr3:uid="{F642F215-F081-4C12-96B7-30C25AFA0E6A}" name="FY 2024" dataDxfId="50">
      <calculatedColumnFormula>(LOOKUP(2024,Lists!$A$10:$A$15,Lists!$D$10:$D$15))*Table1478[[#This Row],[Total Estimate - Current FY]]</calculatedColumnFormula>
    </tableColumn>
    <tableColumn id="15" xr3:uid="{14C02223-0B55-4A00-AC7C-86326446A31A}" name="FY 2025" dataDxfId="49">
      <calculatedColumnFormula>(LOOKUP(2025,Lists!$A$10:$A$15,Lists!$D$10:$D$15))*Table1478[[#This Row],[Total Estimate - Current FY]]</calculatedColumnFormula>
    </tableColumn>
    <tableColumn id="16" xr3:uid="{0D031017-8CD9-44AA-935F-0228BD45B163}" name="FY 2026" dataDxfId="48">
      <calculatedColumnFormula>(LOOKUP(2026,Lists!$A$10:$A$15,Lists!$D$10:$D$15))*Table1478[[#This Row],[Total Estimate - Current FY]]</calculatedColumnFormula>
    </tableColumn>
    <tableColumn id="17" xr3:uid="{D1E10F3A-1FAF-41AA-B8FF-8C8F70D8ED80}" name="FY 2027" dataDxfId="47">
      <calculatedColumnFormula>(LOOKUP(2027,Lists!$A$10:$A$15,Lists!$D$10:$D$15))*Table1478[[#This Row],[Total Estimate - Current FY]]</calculatedColumnFormula>
    </tableColumn>
    <tableColumn id="18" xr3:uid="{660B03EC-CA9E-4796-9C2C-ACDDC4608691}" name="FY 2028" dataDxfId="46">
      <calculatedColumnFormula>(LOOKUP(2028,Lists!$A$10:$A$15,Lists!$D$10:$D$15))*Table1478[[#This Row],[Total Estimate - Current FY]]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9955056-20B7-498D-B8F7-FF87BFCCB146}" name="Table14569" displayName="Table14569" ref="B145:S148" totalsRowShown="0" headerRowDxfId="45" dataDxfId="44">
  <autoFilter ref="B145:S148" xr:uid="{99955056-20B7-498D-B8F7-FF87BFCCB146}"/>
  <tableColumns count="18">
    <tableColumn id="1" xr3:uid="{F48B693A-BE88-49F0-BE9F-D3363921E426}" name="CANAL NAME" dataDxfId="43"/>
    <tableColumn id="2" xr3:uid="{6D3C269D-DFCD-43B1-AA48-93FE52BB2514}" name="Column2" dataDxfId="42"/>
    <tableColumn id="3" xr3:uid="{846D5E13-D117-461F-8E97-F3AE446E0B4F}" name="Column3" dataDxfId="41">
      <calculatedColumnFormula>B146&amp;"-"&amp;C146</calculatedColumnFormula>
    </tableColumn>
    <tableColumn id="4" xr3:uid="{278768B1-80CD-4A28-A268-66584C4941CF}" name="Classification" dataDxfId="40">
      <calculatedColumnFormula>_xlfn.XLOOKUP(D146,Table!D:D,Table!E:E)</calculatedColumnFormula>
    </tableColumn>
    <tableColumn id="5" xr3:uid="{E49426AA-BC34-422E-BDBD-2CC37BD99E31}" name="Estimated Dredge Quantities" dataDxfId="39" dataCellStyle="Comma">
      <calculatedColumnFormula>_xlfn.XLOOKUP(D146,Table!D:D,Table!S:S)</calculatedColumnFormula>
    </tableColumn>
    <tableColumn id="6" xr3:uid="{1AAE9EDF-E861-457A-8F36-BC8F62839240}" name="Insurance/Bonding" dataDxfId="38">
      <calculatedColumnFormula>(AVERAGEIF(Table!F:F,E$71,Table!K:K))*F146</calculatedColumnFormula>
    </tableColumn>
    <tableColumn id="7" xr3:uid="{92D18B60-B010-4EFB-9216-CE5C103993BB}" name="Mob/Demob (LS)" dataDxfId="37">
      <calculatedColumnFormula>(SUMIF(Table!F:F,E$71,Table!L:L))/(COUNTIF(Table!F:F,E$71))</calculatedColumnFormula>
    </tableColumn>
    <tableColumn id="8" xr3:uid="{410E8B3B-1E87-47CC-9788-603A16920B70}" name="Dredging &amp; Placement" dataDxfId="36">
      <calculatedColumnFormula>(AVERAGEIF(Table!F:F,E$71,Table!AA:AA))*F146</calculatedColumnFormula>
    </tableColumn>
    <tableColumn id="9" xr3:uid="{A4515F8D-44C3-4C38-9627-C5842463DAC0}" name="Environmental Protection" dataDxfId="35">
      <calculatedColumnFormula>(AVERAGEIF(Table!F:F,E$71,Table!AI:AI))*F146</calculatedColumnFormula>
    </tableColumn>
    <tableColumn id="10" xr3:uid="{EE605BD1-1211-405D-9D01-14AC97A48770}" name="Seagrass Transplanting &amp; Monitoring" dataDxfId="34">
      <calculatedColumnFormula>_xlfn.XLOOKUP(D146,Table!D:D,Table!AD:AD)</calculatedColumnFormula>
    </tableColumn>
    <tableColumn id="11" xr3:uid="{1A4F5455-C7E7-4402-922B-BB6E10F97CB3}" name="Engineering Fees - Plans, Design &amp; Specs" dataDxfId="33">
      <calculatedColumnFormula>SUM(G146:K146)*0.1</calculatedColumnFormula>
    </tableColumn>
    <tableColumn id="12" xr3:uid="{3D7A3ACD-A236-4743-A8CA-C2E4A3706A4E}" name="Construction Administration" dataDxfId="32">
      <calculatedColumnFormula>SUM(G146:K146)*0.05</calculatedColumnFormula>
    </tableColumn>
    <tableColumn id="13" xr3:uid="{3C7748E1-9C7F-43C1-AB37-AD39272F698E}" name="Total Estimate - Current FY" dataDxfId="31">
      <calculatedColumnFormula>SUM(G146:M146)</calculatedColumnFormula>
    </tableColumn>
    <tableColumn id="14" xr3:uid="{79B2CDFE-16E4-4EE2-9C92-FF7F5227ADAA}" name="FY 2024" dataDxfId="30">
      <calculatedColumnFormula>(LOOKUP(2024,Lists!$A$10:$A$15,Lists!$D$10:$D$15))*Table14569[[#This Row],[Total Estimate - Current FY]]</calculatedColumnFormula>
    </tableColumn>
    <tableColumn id="15" xr3:uid="{62017D52-087F-432D-AE35-A30A930BF667}" name="FY 2025" dataDxfId="29">
      <calculatedColumnFormula>(LOOKUP(2025,Lists!$A$10:$A$15,Lists!$D$10:$D$15))*Table14569[[#This Row],[Total Estimate - Current FY]]</calculatedColumnFormula>
    </tableColumn>
    <tableColumn id="16" xr3:uid="{0028B6DE-2F0E-47E2-A978-0832A62116D4}" name="FY 2026" dataDxfId="28">
      <calculatedColumnFormula>(LOOKUP(2026,Lists!$A$10:$A$15,Lists!$D$10:$D$15))*Table14569[[#This Row],[Total Estimate - Current FY]]</calculatedColumnFormula>
    </tableColumn>
    <tableColumn id="17" xr3:uid="{30F87B84-1B7F-4C31-AFB9-34F3A37F8EED}" name="FY 2027" dataDxfId="27">
      <calculatedColumnFormula>(LOOKUP(2027,Lists!$A$10:$A$15,Lists!$D$10:$D$15))*Table14569[[#This Row],[Total Estimate - Current FY]]</calculatedColumnFormula>
    </tableColumn>
    <tableColumn id="18" xr3:uid="{78533191-1636-4351-813C-67185E97EC5C}" name="FY 2028" dataDxfId="26">
      <calculatedColumnFormula>(LOOKUP(2028,Lists!$A$10:$A$15,Lists!$D$10:$D$15))*Table14569[[#This Row],[Total Estimate - Current FY]]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4D803C-7B24-4FAA-B975-1BB1AAEC58D8}" name="Table14563" displayName="Table14563" ref="B95:S110" totalsRowShown="0" headerRowDxfId="25" dataDxfId="24">
  <autoFilter ref="B95:S110" xr:uid="{E34D803C-7B24-4FAA-B975-1BB1AAEC58D8}"/>
  <tableColumns count="18">
    <tableColumn id="1" xr3:uid="{AC4C80B7-5F3E-4A76-80C0-70F5016F6154}" name="CANAL NAME" dataDxfId="23"/>
    <tableColumn id="2" xr3:uid="{9070708C-0C8F-4778-9763-56451DB34272}" name="Column2" dataDxfId="22"/>
    <tableColumn id="3" xr3:uid="{C5B7AF54-A746-403C-8013-591B00F7567E}" name="Column3" dataDxfId="21">
      <calculatedColumnFormula>B96&amp;"-"&amp;C96</calculatedColumnFormula>
    </tableColumn>
    <tableColumn id="4" xr3:uid="{244FA61F-0D30-43FE-8DA9-CB799AE6EB25}" name="Classification" dataDxfId="20">
      <calculatedColumnFormula>_xlfn.XLOOKUP(D96,Table!D:D,Table!E:E)</calculatedColumnFormula>
    </tableColumn>
    <tableColumn id="5" xr3:uid="{12449391-B3A1-4B6D-823E-77CB8550B9EB}" name="Estimated Dredge Quantities" dataDxfId="19" dataCellStyle="Comma">
      <calculatedColumnFormula>_xlfn.XLOOKUP(D96,Table!D:D,Table!S:S)</calculatedColumnFormula>
    </tableColumn>
    <tableColumn id="6" xr3:uid="{222F9E66-1480-42EF-9269-1DFB012301BE}" name="Insurance/Bonding" dataDxfId="18">
      <calculatedColumnFormula>(AVERAGEIF(Table!F:F,E$94,Table!K:K))*F96</calculatedColumnFormula>
    </tableColumn>
    <tableColumn id="7" xr3:uid="{361D98D8-A7F2-43BA-A681-E4258BDB64E7}" name="Mob/Demob (LS)" dataDxfId="17">
      <calculatedColumnFormula>(SUMIF(Table!F:F,E$94,Table!L:L))/(COUNTIF(Table!F:F,E$94))</calculatedColumnFormula>
    </tableColumn>
    <tableColumn id="8" xr3:uid="{9E39F8DC-089B-4385-BCE7-171876700278}" name="Dredging &amp; Placement" dataDxfId="16">
      <calculatedColumnFormula>(AVERAGEIF(Table!F:F,E$94,Table!AA:AA))*F96</calculatedColumnFormula>
    </tableColumn>
    <tableColumn id="9" xr3:uid="{AEB4A18C-3B0D-460F-8896-42EE692929D4}" name="Environmental Protection" dataDxfId="15">
      <calculatedColumnFormula>(AVERAGEIF(Table!F:F,E$94,Table!AI:AI))*F96</calculatedColumnFormula>
    </tableColumn>
    <tableColumn id="10" xr3:uid="{5801A84B-ECA4-404E-848A-F601D6048969}" name="Seagrass Transplanting &amp; Monitoring" dataDxfId="14">
      <calculatedColumnFormula>_xlfn.XLOOKUP(D96,Table!D:D,Table!AD:AD)</calculatedColumnFormula>
    </tableColumn>
    <tableColumn id="11" xr3:uid="{A6C8BCFF-E21E-40EC-95BB-6CA8F46B3FBC}" name="Engineering Fees - Plans, Design &amp; Specs" dataDxfId="13">
      <calculatedColumnFormula>SUM(G96:K96)*0.1</calculatedColumnFormula>
    </tableColumn>
    <tableColumn id="12" xr3:uid="{7C6FC11D-25FB-49A9-A2F9-6640B2F70A76}" name="Construction Administration" dataDxfId="12">
      <calculatedColumnFormula>SUM(G96:K96)*0.05</calculatedColumnFormula>
    </tableColumn>
    <tableColumn id="13" xr3:uid="{1160B8F6-6CD9-4173-AAF0-307E2BF40735}" name="Total Estimate - Current FY" dataDxfId="11">
      <calculatedColumnFormula>SUM(G96:M96)</calculatedColumnFormula>
    </tableColumn>
    <tableColumn id="14" xr3:uid="{82A3F584-B241-4D0F-9487-478BE19A812A}" name="FY 2024" dataDxfId="10">
      <calculatedColumnFormula>(LOOKUP(2024,Lists!$A$10:$A$15,Lists!$D$10:$D$15))*Table14563[[#This Row],[Total Estimate - Current FY]]</calculatedColumnFormula>
    </tableColumn>
    <tableColumn id="15" xr3:uid="{9389AEB5-3D6D-4BC3-BDD9-95B10BE84E8A}" name="FY 2025" dataDxfId="9">
      <calculatedColumnFormula>(LOOKUP(2025,Lists!$A$10:$A$15,Lists!$D$10:$D$15))*Table14563[[#This Row],[Total Estimate - Current FY]]</calculatedColumnFormula>
    </tableColumn>
    <tableColumn id="16" xr3:uid="{75C2B6ED-3ACE-4C1F-BA9E-9FF99D5DB4A1}" name="FY 2026" dataDxfId="8">
      <calculatedColumnFormula>(LOOKUP(2026,Lists!$A$10:$A$15,Lists!$D$10:$D$15))*Table14563[[#This Row],[Total Estimate - Current FY]]</calculatedColumnFormula>
    </tableColumn>
    <tableColumn id="17" xr3:uid="{2CA298BF-E19F-433F-8295-DEA750E265F7}" name="FY 2027" dataDxfId="7">
      <calculatedColumnFormula>(LOOKUP(2027,Lists!$A$10:$A$15,Lists!$D$10:$D$15))*Table14563[[#This Row],[Total Estimate - Current FY]]</calculatedColumnFormula>
    </tableColumn>
    <tableColumn id="18" xr3:uid="{FDC91568-EE22-4EA4-87CE-74E54737956C}" name="FY 2028" dataDxfId="6">
      <calculatedColumnFormula>(LOOKUP(2028,Lists!$A$10:$A$15,Lists!$D$10:$D$15))*Table14563[[#This Row],[Total Estimate - Current FY]]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3-06-22T02:02:13.61" personId="{B697BFAB-8431-4AB7-A790-469E71B4AC39}" id="{B8B628AF-938A-440C-84F0-17431E1EB47C}">
    <text>Solely based on % Prism estimates - Not based on survey volumes</text>
  </threadedComment>
  <threadedComment ref="F28" dT="2023-06-22T02:02:13.61" personId="{B697BFAB-8431-4AB7-A790-469E71B4AC39}" id="{5174C14D-6BDC-464A-97B7-4586CB2DF89C}">
    <text>Solely based on % Prism estimates - Not based on survey volumes</text>
  </threadedComment>
  <threadedComment ref="F53" dT="2023-06-22T02:02:13.61" personId="{B697BFAB-8431-4AB7-A790-469E71B4AC39}" id="{B694D83D-B1BF-4638-A6D5-53B134A42675}">
    <text>Solely based on % Prism estimates - Not based on survey volumes</text>
  </threadedComment>
  <threadedComment ref="F72" dT="2023-06-22T02:02:13.61" personId="{B697BFAB-8431-4AB7-A790-469E71B4AC39}" id="{344A8D64-9B30-47F8-9BC0-08319C97A0AC}">
    <text>Solely based on % Prism estimates - Not based on survey volumes</text>
  </threadedComment>
  <threadedComment ref="F95" dT="2023-06-22T02:02:13.61" personId="{B697BFAB-8431-4AB7-A790-469E71B4AC39}" id="{E31C6938-3D6A-4DFE-BDC6-F14E9BA35127}">
    <text>Solely based on % Prism estimates - Not based on survey volumes</text>
  </threadedComment>
  <threadedComment ref="F117" dT="2023-06-22T02:02:13.61" personId="{B697BFAB-8431-4AB7-A790-469E71B4AC39}" id="{00E815AC-4AAF-4F95-ABB8-BD5D003184CF}">
    <text>Solely based on % Prism estimates - Not based on survey volumes</text>
  </threadedComment>
  <threadedComment ref="F145" dT="2023-06-22T02:02:13.61" personId="{B697BFAB-8431-4AB7-A790-469E71B4AC39}" id="{72BE23D2-5D66-450E-9648-6DCC557E7E15}">
    <text>Solely based on % Prism estimates - Not based on survey volumes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" dT="2023-06-14T18:52:31.71" personId="{B697BFAB-8431-4AB7-A790-469E71B4AC39}" id="{121D516C-BDF7-40C7-83DC-0903A8F2EB7B}">
    <text>Enter Group Number for OPC lookup from Table Tab</text>
  </threadedComment>
  <threadedComment ref="D5" dT="2023-06-14T18:53:19.54" personId="{B697BFAB-8431-4AB7-A790-469E71B4AC39}" id="{7AECB4FD-CDF8-47EA-B833-E083DDA7645E}">
    <text>Dredge template prism volume - not dredging volume</text>
  </threadedComment>
  <threadedComment ref="C12" dT="2023-06-22T02:02:13.61" personId="{B697BFAB-8431-4AB7-A790-469E71B4AC39}" id="{6F6E77AD-ACE1-4B51-B277-13F7EAC72AD0}">
    <text>Solely based on % Prism estimates - Not based on survey volumes</text>
  </threadedComment>
  <threadedComment ref="B14" dT="2023-06-14T18:53:52.08" personId="{B697BFAB-8431-4AB7-A790-469E71B4AC39}" id="{D0446AEA-E0EE-4C9B-B104-998EAC639F89}">
    <text>Assumed percentage of prism that will be dredged based on spot checks {PrismQC Vols} - can update with actual quantities from survey data</text>
  </threadedComment>
  <threadedComment ref="B19" dT="2023-06-14T18:54:16.24" personId="{B697BFAB-8431-4AB7-A790-469E71B4AC39}" id="{71D4B285-EF3D-46C6-B69C-0FBE8A3203EF}">
    <text>Change fiscal year for inflation/Construction Cost index projected costs</text>
  </threadedComment>
  <threadedComment ref="B20" dT="2023-06-14T18:54:16.24" personId="{B697BFAB-8431-4AB7-A790-469E71B4AC39}" id="{3B347011-E673-4212-8589-EF7A8849D4D3}">
    <text>Change fiscal year for inflation/Construction Cost index projected costs</text>
  </threadedComment>
  <threadedComment ref="B21" dT="2023-06-14T18:54:16.24" personId="{B697BFAB-8431-4AB7-A790-469E71B4AC39}" id="{C9EAED7F-9CC4-4FAE-BEEE-590D5ADF121D}">
    <text>Change fiscal year for inflation/Construction Cost index projected costs</text>
  </threadedComment>
  <threadedComment ref="B22" dT="2023-06-14T18:54:16.24" personId="{B697BFAB-8431-4AB7-A790-469E71B4AC39}" id="{AF85A71F-6735-4C8C-9E16-B9B5BF897D1D}">
    <text>Change fiscal year for inflation/Construction Cost index projected costs</text>
  </threadedComment>
  <threadedComment ref="B23" dT="2023-06-14T18:54:16.24" personId="{B697BFAB-8431-4AB7-A790-469E71B4AC39}" id="{CBCE2503-41A1-43BB-8BF3-78FD65EE9F46}">
    <text>Change fiscal year for inflation/Construction Cost index projected costs</text>
  </threadedComment>
  <threadedComment ref="B24" dT="2023-06-14T18:54:16.24" personId="{B697BFAB-8431-4AB7-A790-469E71B4AC39}" id="{033F32B1-14FD-4D50-AF85-5674F583C94D}">
    <text>Change fiscal year for inflation/Construction Cost index projected costs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4" dT="2023-06-14T18:55:36.49" personId="{B697BFAB-8431-4AB7-A790-469E71B4AC39}" id="{B56FD34D-C5B7-41A7-93C3-50B96F8A7147}">
    <text xml:space="preserve">Yellow cells are pulldown and change cost parameters based on selections - 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microsoft.com/office/2017/10/relationships/threadedComment" Target="../threadedComments/threadedComment1.xml"/><Relationship Id="rId5" Type="http://schemas.openxmlformats.org/officeDocument/2006/relationships/table" Target="../tables/table3.xml"/><Relationship Id="rId10" Type="http://schemas.openxmlformats.org/officeDocument/2006/relationships/comments" Target="../comments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69ED9-010B-4CAB-9D21-CEA4922AE3F3}">
  <sheetPr>
    <tabColor rgb="FF00B0F0"/>
    <pageSetUpPr fitToPage="1"/>
  </sheetPr>
  <dimension ref="B2:S152"/>
  <sheetViews>
    <sheetView tabSelected="1" zoomScale="70" zoomScaleNormal="70" workbookViewId="0">
      <selection activeCell="U127" sqref="U127"/>
    </sheetView>
  </sheetViews>
  <sheetFormatPr defaultColWidth="8.85546875" defaultRowHeight="15" x14ac:dyDescent="0.25"/>
  <cols>
    <col min="1" max="1" width="3.28515625" style="263" customWidth="1"/>
    <col min="2" max="2" width="17.85546875" style="263" bestFit="1" customWidth="1"/>
    <col min="3" max="3" width="13.7109375" style="263" hidden="1" customWidth="1"/>
    <col min="4" max="4" width="15.5703125" style="263" hidden="1" customWidth="1"/>
    <col min="5" max="5" width="37.28515625" style="402" customWidth="1"/>
    <col min="6" max="6" width="29.7109375" style="263" bestFit="1" customWidth="1"/>
    <col min="7" max="7" width="37.85546875" style="263" bestFit="1" customWidth="1"/>
    <col min="8" max="8" width="36.7109375" style="263" bestFit="1" customWidth="1"/>
    <col min="9" max="9" width="23.140625" style="263" bestFit="1" customWidth="1"/>
    <col min="10" max="10" width="23.28515625" style="263" bestFit="1" customWidth="1"/>
    <col min="11" max="12" width="23.28515625" style="263" customWidth="1"/>
    <col min="13" max="13" width="14.5703125" style="263" bestFit="1" customWidth="1"/>
    <col min="14" max="14" width="15.42578125" style="263" customWidth="1"/>
    <col min="15" max="19" width="16" style="263" bestFit="1" customWidth="1"/>
    <col min="20" max="16384" width="8.85546875" style="263"/>
  </cols>
  <sheetData>
    <row r="2" spans="2:19" ht="30" x14ac:dyDescent="0.25">
      <c r="E2" s="471"/>
      <c r="F2" s="456" t="s">
        <v>670</v>
      </c>
      <c r="G2" s="456" t="s">
        <v>665</v>
      </c>
      <c r="H2" s="456" t="s">
        <v>672</v>
      </c>
      <c r="I2" s="456" t="s">
        <v>666</v>
      </c>
      <c r="J2" s="456" t="s">
        <v>666</v>
      </c>
      <c r="K2" s="456" t="s">
        <v>667</v>
      </c>
      <c r="L2" s="456" t="s">
        <v>671</v>
      </c>
      <c r="M2" s="457" t="s">
        <v>673</v>
      </c>
    </row>
    <row r="3" spans="2:19" ht="14.45" customHeight="1" thickBot="1" x14ac:dyDescent="0.3">
      <c r="F3" s="408"/>
      <c r="G3" s="408"/>
      <c r="H3" s="408"/>
      <c r="I3" s="408"/>
      <c r="J3" s="408"/>
      <c r="K3" s="408"/>
      <c r="L3" s="408"/>
      <c r="M3" s="409"/>
      <c r="N3" s="408"/>
    </row>
    <row r="4" spans="2:19" x14ac:dyDescent="0.25">
      <c r="B4" s="410" t="s">
        <v>652</v>
      </c>
      <c r="C4" s="411"/>
      <c r="D4" s="411"/>
      <c r="E4" s="467">
        <v>1</v>
      </c>
      <c r="F4" s="412"/>
      <c r="G4" s="412"/>
      <c r="H4" s="412"/>
      <c r="I4" s="412"/>
      <c r="J4" s="412"/>
      <c r="K4" s="412"/>
      <c r="L4" s="412"/>
      <c r="M4" s="413"/>
      <c r="N4" s="414"/>
      <c r="O4" s="490" t="s">
        <v>687</v>
      </c>
      <c r="P4" s="491"/>
      <c r="Q4" s="491"/>
      <c r="R4" s="491"/>
      <c r="S4" s="492"/>
    </row>
    <row r="5" spans="2:19" ht="30" x14ac:dyDescent="0.25">
      <c r="B5" s="415" t="s">
        <v>653</v>
      </c>
      <c r="C5" s="263" t="s">
        <v>674</v>
      </c>
      <c r="D5" s="263" t="s">
        <v>675</v>
      </c>
      <c r="E5" s="402" t="s">
        <v>649</v>
      </c>
      <c r="F5" s="401" t="s">
        <v>632</v>
      </c>
      <c r="G5" s="401" t="s">
        <v>594</v>
      </c>
      <c r="H5" s="401" t="s">
        <v>596</v>
      </c>
      <c r="I5" s="401" t="s">
        <v>669</v>
      </c>
      <c r="J5" s="401" t="s">
        <v>415</v>
      </c>
      <c r="K5" s="401" t="s">
        <v>668</v>
      </c>
      <c r="L5" s="401" t="s">
        <v>617</v>
      </c>
      <c r="M5" s="401" t="s">
        <v>618</v>
      </c>
      <c r="N5" s="430" t="s">
        <v>680</v>
      </c>
      <c r="O5" s="440" t="s">
        <v>682</v>
      </c>
      <c r="P5" s="401" t="s">
        <v>683</v>
      </c>
      <c r="Q5" s="401" t="s">
        <v>684</v>
      </c>
      <c r="R5" s="401" t="s">
        <v>685</v>
      </c>
      <c r="S5" s="430" t="s">
        <v>686</v>
      </c>
    </row>
    <row r="6" spans="2:19" x14ac:dyDescent="0.25">
      <c r="B6" s="415">
        <v>1</v>
      </c>
      <c r="C6" s="458" t="s">
        <v>370</v>
      </c>
      <c r="D6" s="263" t="str">
        <f>B6&amp;"-"&amp;C6</f>
        <v>1-Private</v>
      </c>
      <c r="E6" s="402" t="str">
        <f>_xlfn.XLOOKUP(D6,Table!D:D,Table!E:E)</f>
        <v>Local Canal - Direct Benefit</v>
      </c>
      <c r="F6" s="406">
        <f>_xlfn.XLOOKUP(D6,Table!D:D,Table!S:S)</f>
        <v>858.76326844199912</v>
      </c>
      <c r="G6" s="334">
        <f>(AVERAGEIF(Table!F:F,E$4,Table!K:K))*F6</f>
        <v>537.97556264929085</v>
      </c>
      <c r="H6" s="334">
        <f>(SUMIF(Table!F:F,E$4,Table!L:L))/(COUNTIF(Table!F:F,E$4))</f>
        <v>42161.870759819991</v>
      </c>
      <c r="I6" s="334">
        <f>(AVERAGEIF(Table!F:F,E$4,Table!AA:AA))*F6</f>
        <v>38402.97312518215</v>
      </c>
      <c r="J6" s="334">
        <f>(AVERAGEIF(Table!F:F,E$4,Table!AI:AI))*F6</f>
        <v>2841.8200112634795</v>
      </c>
      <c r="K6" s="334">
        <f>_xlfn.XLOOKUP(D6,Table!D:D,Table!AD:AD)</f>
        <v>6374.3196723104056</v>
      </c>
      <c r="L6" s="334">
        <f>SUM(G6:K6)*0.1</f>
        <v>9031.8959131225329</v>
      </c>
      <c r="M6" s="334">
        <f>SUM(G6:K6)*0.05</f>
        <v>4515.9479565612664</v>
      </c>
      <c r="N6" s="431">
        <f>SUM(G6:M6)</f>
        <v>103866.80300090912</v>
      </c>
      <c r="O6" s="443">
        <f>(LOOKUP(2024,Lists!$A$10:$A$15,Lists!$D$10:$D$15))*Table1[[#This Row],[Total Estimate - Current FY]]</f>
        <v>108644.67593895094</v>
      </c>
      <c r="P6" s="436">
        <f>(LOOKUP(2025,Lists!$A$10:$A$15,Lists!$D$10:$D$15))*Table1[[#This Row],[Total Estimate - Current FY]]</f>
        <v>113207.75232838689</v>
      </c>
      <c r="Q6" s="436">
        <f>(LOOKUP(2026,Lists!$A$10:$A$15,Lists!$D$10:$D$15))*Table1[[#This Row],[Total Estimate - Current FY]]</f>
        <v>117736.06242152237</v>
      </c>
      <c r="R6" s="436">
        <f>(LOOKUP(2027,Lists!$A$10:$A$15,Lists!$D$10:$D$15))*Table1[[#This Row],[Total Estimate - Current FY]]</f>
        <v>122445.50491838326</v>
      </c>
      <c r="S6" s="431">
        <f>(LOOKUP(2028,Lists!$A$10:$A$15,Lists!$D$10:$D$15))*Table1[[#This Row],[Total Estimate - Current FY]]</f>
        <v>127588.21612495535</v>
      </c>
    </row>
    <row r="7" spans="2:19" x14ac:dyDescent="0.25">
      <c r="B7" s="415" t="s">
        <v>254</v>
      </c>
      <c r="C7" s="458" t="s">
        <v>378</v>
      </c>
      <c r="D7" s="263" t="str">
        <f t="shared" ref="D7:D21" si="0">B7&amp;"-"&amp;C7</f>
        <v>1P-Access</v>
      </c>
      <c r="E7" s="402" t="str">
        <f>_xlfn.XLOOKUP(D7,Table!D:D,Table!E:E)</f>
        <v>Access Channel - General Benefit</v>
      </c>
      <c r="F7" s="406">
        <f>_xlfn.XLOOKUP(D7,Table!D:D,Table!S:S)</f>
        <v>1115.3462186056584</v>
      </c>
      <c r="G7" s="334">
        <f>(AVERAGEIF(Table!F:F,E$4,Table!K:K))*F7</f>
        <v>698.71294168383952</v>
      </c>
      <c r="H7" s="334">
        <f>(SUMIF(Table!F:F,E$4,Table!L:L))/(COUNTIF(Table!F:F,E$4))</f>
        <v>42161.870759819991</v>
      </c>
      <c r="I7" s="334">
        <f>(AVERAGEIF(Table!F:F,E$4,Table!AA:AA))*F7</f>
        <v>49877.087705550308</v>
      </c>
      <c r="J7" s="334">
        <f>(AVERAGEIF(Table!F:F,E$4,Table!AI:AI))*F7</f>
        <v>3690.9044902107235</v>
      </c>
      <c r="K7" s="334">
        <f>_xlfn.XLOOKUP(D7,Table!D:D,Table!AD:AD)</f>
        <v>8234.5607590442778</v>
      </c>
      <c r="L7" s="334">
        <f t="shared" ref="L7:L21" si="1">SUM(G7:K7)*0.1</f>
        <v>10466.313665630914</v>
      </c>
      <c r="M7" s="334">
        <f t="shared" ref="M7:M21" si="2">SUM(G7:K7)*0.05</f>
        <v>5233.1568328154572</v>
      </c>
      <c r="N7" s="431">
        <f t="shared" ref="N7:N21" si="3">SUM(G7:M7)</f>
        <v>120362.60715475552</v>
      </c>
      <c r="O7" s="443">
        <f>(LOOKUP(2024,Lists!$A$10:$A$15,Lists!$D$10:$D$15))*Table1[[#This Row],[Total Estimate - Current FY]]</f>
        <v>125899.28708387428</v>
      </c>
      <c r="P7" s="436">
        <f>(LOOKUP(2025,Lists!$A$10:$A$15,Lists!$D$10:$D$15))*Table1[[#This Row],[Total Estimate - Current FY]]</f>
        <v>131187.057141397</v>
      </c>
      <c r="Q7" s="436">
        <f>(LOOKUP(2026,Lists!$A$10:$A$15,Lists!$D$10:$D$15))*Table1[[#This Row],[Total Estimate - Current FY]]</f>
        <v>136434.53942705289</v>
      </c>
      <c r="R7" s="436">
        <f>(LOOKUP(2027,Lists!$A$10:$A$15,Lists!$D$10:$D$15))*Table1[[#This Row],[Total Estimate - Current FY]]</f>
        <v>141891.92100413499</v>
      </c>
      <c r="S7" s="431">
        <f>(LOOKUP(2028,Lists!$A$10:$A$15,Lists!$D$10:$D$15))*Table1[[#This Row],[Total Estimate - Current FY]]</f>
        <v>147851.38168630865</v>
      </c>
    </row>
    <row r="8" spans="2:19" x14ac:dyDescent="0.25">
      <c r="B8" s="415">
        <v>2</v>
      </c>
      <c r="C8" s="458" t="s">
        <v>370</v>
      </c>
      <c r="D8" s="263" t="str">
        <f t="shared" si="0"/>
        <v>2-Private</v>
      </c>
      <c r="E8" s="402" t="str">
        <f>_xlfn.XLOOKUP(D8,Table!D:D,Table!E:E)</f>
        <v>Local Canal - Direct Benefit</v>
      </c>
      <c r="F8" s="406">
        <f>_xlfn.XLOOKUP(D8,Table!D:D,Table!S:S)</f>
        <v>5455.706364353794</v>
      </c>
      <c r="G8" s="334">
        <f>(AVERAGEIF(Table!F:F,E$4,Table!K:K))*F8</f>
        <v>3417.7483002241165</v>
      </c>
      <c r="H8" s="334">
        <f>(SUMIF(Table!F:F,E$4,Table!L:L))/(COUNTIF(Table!F:F,E$4))</f>
        <v>42161.870759819991</v>
      </c>
      <c r="I8" s="334">
        <f>(AVERAGEIF(Table!F:F,E$4,Table!AA:AA))*F8</f>
        <v>243973.34234995244</v>
      </c>
      <c r="J8" s="334">
        <f>(AVERAGEIF(Table!F:F,E$4,Table!AI:AI))*F8</f>
        <v>18054.027333896483</v>
      </c>
      <c r="K8" s="334">
        <f>_xlfn.XLOOKUP(D8,Table!D:D,Table!AD:AD)</f>
        <v>43069.77067165044</v>
      </c>
      <c r="L8" s="334">
        <f t="shared" si="1"/>
        <v>35067.675941554349</v>
      </c>
      <c r="M8" s="334">
        <f t="shared" si="2"/>
        <v>17533.837970777175</v>
      </c>
      <c r="N8" s="431">
        <f t="shared" si="3"/>
        <v>403278.27332787501</v>
      </c>
      <c r="O8" s="443">
        <f>(LOOKUP(2024,Lists!$A$10:$A$15,Lists!$D$10:$D$15))*Table1[[#This Row],[Total Estimate - Current FY]]</f>
        <v>421829.0739009573</v>
      </c>
      <c r="P8" s="436">
        <f>(LOOKUP(2025,Lists!$A$10:$A$15,Lists!$D$10:$D$15))*Table1[[#This Row],[Total Estimate - Current FY]]</f>
        <v>439545.89500479749</v>
      </c>
      <c r="Q8" s="436">
        <f>(LOOKUP(2026,Lists!$A$10:$A$15,Lists!$D$10:$D$15))*Table1[[#This Row],[Total Estimate - Current FY]]</f>
        <v>457127.73080498941</v>
      </c>
      <c r="R8" s="436">
        <f>(LOOKUP(2027,Lists!$A$10:$A$15,Lists!$D$10:$D$15))*Table1[[#This Row],[Total Estimate - Current FY]]</f>
        <v>475412.84003718896</v>
      </c>
      <c r="S8" s="431">
        <f>(LOOKUP(2028,Lists!$A$10:$A$15,Lists!$D$10:$D$15))*Table1[[#This Row],[Total Estimate - Current FY]]</f>
        <v>495380.17931875092</v>
      </c>
    </row>
    <row r="9" spans="2:19" x14ac:dyDescent="0.25">
      <c r="B9" s="415" t="s">
        <v>166</v>
      </c>
      <c r="C9" s="458" t="s">
        <v>655</v>
      </c>
      <c r="D9" s="263" t="str">
        <f t="shared" si="0"/>
        <v>2A-Access.1</v>
      </c>
      <c r="E9" s="402" t="str">
        <f>_xlfn.XLOOKUP(D9,Table!D:D,Table!E:E)</f>
        <v>Access Channel - General Benefit</v>
      </c>
      <c r="F9" s="406">
        <f>_xlfn.XLOOKUP(D9,Table!D:D,Table!S:S)</f>
        <v>162.20858327598285</v>
      </c>
      <c r="G9" s="334">
        <f>(AVERAGEIF(Table!F:F,E$4,Table!K:K))*F9</f>
        <v>101.61619279869683</v>
      </c>
      <c r="H9" s="334">
        <f>(SUMIF(Table!F:F,E$4,Table!L:L))/(COUNTIF(Table!F:F,E$4))</f>
        <v>42161.870759819991</v>
      </c>
      <c r="I9" s="334">
        <f>(AVERAGEIF(Table!F:F,E$4,Table!AA:AA))*F9</f>
        <v>7253.7940234948073</v>
      </c>
      <c r="J9" s="334">
        <f>(AVERAGEIF(Table!F:F,E$4,Table!AI:AI))*F9</f>
        <v>536.78075773861588</v>
      </c>
      <c r="K9" s="334">
        <f>_xlfn.XLOOKUP(D9,Table!D:D,Table!AD:AD)</f>
        <v>1197.5800987557122</v>
      </c>
      <c r="L9" s="334">
        <f t="shared" si="1"/>
        <v>5125.1641832607829</v>
      </c>
      <c r="M9" s="334">
        <f t="shared" si="2"/>
        <v>2562.5820916303915</v>
      </c>
      <c r="N9" s="431">
        <f t="shared" si="3"/>
        <v>58939.388107499006</v>
      </c>
      <c r="O9" s="443">
        <f>(LOOKUP(2024,Lists!$A$10:$A$15,Lists!$D$10:$D$15))*Table1[[#This Row],[Total Estimate - Current FY]]</f>
        <v>61650.599960443964</v>
      </c>
      <c r="P9" s="436">
        <f>(LOOKUP(2025,Lists!$A$10:$A$15,Lists!$D$10:$D$15))*Table1[[#This Row],[Total Estimate - Current FY]]</f>
        <v>64239.925158782615</v>
      </c>
      <c r="Q9" s="436">
        <f>(LOOKUP(2026,Lists!$A$10:$A$15,Lists!$D$10:$D$15))*Table1[[#This Row],[Total Estimate - Current FY]]</f>
        <v>66809.522165133909</v>
      </c>
      <c r="R9" s="436">
        <f>(LOOKUP(2027,Lists!$A$10:$A$15,Lists!$D$10:$D$15))*Table1[[#This Row],[Total Estimate - Current FY]]</f>
        <v>69481.903051739268</v>
      </c>
      <c r="S9" s="431">
        <f>(LOOKUP(2028,Lists!$A$10:$A$15,Lists!$D$10:$D$15))*Table1[[#This Row],[Total Estimate - Current FY]]</f>
        <v>72400.142979912314</v>
      </c>
    </row>
    <row r="10" spans="2:19" x14ac:dyDescent="0.25">
      <c r="B10" s="415" t="s">
        <v>166</v>
      </c>
      <c r="C10" s="458" t="s">
        <v>378</v>
      </c>
      <c r="D10" s="263" t="str">
        <f t="shared" si="0"/>
        <v>2A-Access</v>
      </c>
      <c r="E10" s="402" t="str">
        <f>_xlfn.XLOOKUP(D10,Table!D:D,Table!E:E)</f>
        <v>Access Channel - General Benefit</v>
      </c>
      <c r="F10" s="406">
        <f>_xlfn.XLOOKUP(D10,Table!D:D,Table!S:S)</f>
        <v>2329.3152558431138</v>
      </c>
      <c r="G10" s="334">
        <f>(AVERAGEIF(Table!F:F,E$4,Table!K:K))*F10</f>
        <v>1459.2085285892865</v>
      </c>
      <c r="H10" s="334">
        <f>(SUMIF(Table!F:F,E$4,Table!L:L))/(COUNTIF(Table!F:F,E$4))</f>
        <v>42161.870759819991</v>
      </c>
      <c r="I10" s="334">
        <f>(AVERAGEIF(Table!F:F,E$4,Table!AA:AA))*F10</f>
        <v>104164.48217738543</v>
      </c>
      <c r="J10" s="334">
        <f>(AVERAGEIF(Table!F:F,E$4,Table!AI:AI))*F10</f>
        <v>7708.1716811265242</v>
      </c>
      <c r="K10" s="334">
        <f>_xlfn.XLOOKUP(D10,Table!D:D,Table!AD:AD)</f>
        <v>17197.250218132031</v>
      </c>
      <c r="L10" s="334">
        <f t="shared" si="1"/>
        <v>17269.098336505325</v>
      </c>
      <c r="M10" s="334">
        <f t="shared" si="2"/>
        <v>8634.5491682526626</v>
      </c>
      <c r="N10" s="431">
        <f t="shared" si="3"/>
        <v>198594.63086981123</v>
      </c>
      <c r="O10" s="443">
        <f>(LOOKUP(2024,Lists!$A$10:$A$15,Lists!$D$10:$D$15))*Table1[[#This Row],[Total Estimate - Current FY]]</f>
        <v>207729.98388982256</v>
      </c>
      <c r="P10" s="436">
        <f>(LOOKUP(2025,Lists!$A$10:$A$15,Lists!$D$10:$D$15))*Table1[[#This Row],[Total Estimate - Current FY]]</f>
        <v>216454.64321319512</v>
      </c>
      <c r="Q10" s="436">
        <f>(LOOKUP(2026,Lists!$A$10:$A$15,Lists!$D$10:$D$15))*Table1[[#This Row],[Total Estimate - Current FY]]</f>
        <v>225112.8289417229</v>
      </c>
      <c r="R10" s="436">
        <f>(LOOKUP(2027,Lists!$A$10:$A$15,Lists!$D$10:$D$15))*Table1[[#This Row],[Total Estimate - Current FY]]</f>
        <v>234117.34209939183</v>
      </c>
      <c r="S10" s="431">
        <f>(LOOKUP(2028,Lists!$A$10:$A$15,Lists!$D$10:$D$15))*Table1[[#This Row],[Total Estimate - Current FY]]</f>
        <v>243950.27046756627</v>
      </c>
    </row>
    <row r="11" spans="2:19" x14ac:dyDescent="0.25">
      <c r="B11" s="415" t="s">
        <v>166</v>
      </c>
      <c r="C11" s="458" t="s">
        <v>370</v>
      </c>
      <c r="D11" s="263" t="str">
        <f>B10&amp;"-"&amp;C11</f>
        <v>2A-Private</v>
      </c>
      <c r="E11" s="402" t="str">
        <f>_xlfn.XLOOKUP(D11,Table!D:D,Table!E:E)</f>
        <v>Local Canal - Direct Benefit</v>
      </c>
      <c r="F11" s="406">
        <f>_xlfn.XLOOKUP(D11,Table!D:D,Table!S:S)</f>
        <v>395.14010886029422</v>
      </c>
      <c r="G11" s="334">
        <f>(AVERAGEIF(Table!F:F,E$4,Table!K:K))*F11</f>
        <v>247.53704565762547</v>
      </c>
      <c r="H11" s="334">
        <f>(SUMIF(Table!F:F,E$4,Table!L:L))/(COUNTIF(Table!F:F,E$4))</f>
        <v>42161.870759819991</v>
      </c>
      <c r="I11" s="334">
        <f>(AVERAGEIF(Table!F:F,E$4,Table!AA:AA))*F11</f>
        <v>17670.242241233351</v>
      </c>
      <c r="J11" s="334">
        <f>(AVERAGEIF(Table!F:F,E$4,Table!AI:AI))*F11</f>
        <v>1307.5979258512682</v>
      </c>
      <c r="K11" s="334">
        <f>_xlfn.XLOOKUP(D11,Table!D:D,Table!AD:AD)</f>
        <v>2917.3051205689153</v>
      </c>
      <c r="L11" s="334">
        <f t="shared" ref="L11" si="4">SUM(G11:K11)*0.1</f>
        <v>6430.4553093131153</v>
      </c>
      <c r="M11" s="334">
        <f t="shared" ref="M11" si="5">SUM(G11:K11)*0.05</f>
        <v>3215.2276546565577</v>
      </c>
      <c r="N11" s="431">
        <f t="shared" ref="N11" si="6">SUM(G11:M11)</f>
        <v>73950.236057100818</v>
      </c>
      <c r="O11" s="443">
        <f>(LOOKUP(2024,Lists!$A$10:$A$15,Lists!$D$10:$D$15))*Table1[[#This Row],[Total Estimate - Current FY]]</f>
        <v>77351.946915727458</v>
      </c>
      <c r="P11" s="436">
        <f>(LOOKUP(2025,Lists!$A$10:$A$15,Lists!$D$10:$D$15))*Table1[[#This Row],[Total Estimate - Current FY]]</f>
        <v>80600.728686188013</v>
      </c>
      <c r="Q11" s="436">
        <f>(LOOKUP(2026,Lists!$A$10:$A$15,Lists!$D$10:$D$15))*Table1[[#This Row],[Total Estimate - Current FY]]</f>
        <v>83824.757833635536</v>
      </c>
      <c r="R11" s="436">
        <f>(LOOKUP(2027,Lists!$A$10:$A$15,Lists!$D$10:$D$15))*Table1[[#This Row],[Total Estimate - Current FY]]</f>
        <v>87177.748146980957</v>
      </c>
      <c r="S11" s="431">
        <f>(LOOKUP(2028,Lists!$A$10:$A$15,Lists!$D$10:$D$15))*Table1[[#This Row],[Total Estimate - Current FY]]</f>
        <v>90839.213569154163</v>
      </c>
    </row>
    <row r="12" spans="2:19" x14ac:dyDescent="0.25">
      <c r="B12" s="415" t="s">
        <v>289</v>
      </c>
      <c r="C12" s="458" t="s">
        <v>370</v>
      </c>
      <c r="D12" s="263" t="str">
        <f t="shared" si="0"/>
        <v>2B-Private</v>
      </c>
      <c r="E12" s="402" t="str">
        <f>_xlfn.XLOOKUP(D12,Table!D:D,Table!E:E)</f>
        <v>Local Canal - Direct Benefit</v>
      </c>
      <c r="F12" s="406">
        <f>_xlfn.XLOOKUP(D12,Table!D:D,Table!S:S)</f>
        <v>211.51999259188167</v>
      </c>
      <c r="G12" s="334">
        <f>(AVERAGEIF(Table!F:F,E$4,Table!K:K))*F12</f>
        <v>132.50751540950068</v>
      </c>
      <c r="H12" s="334">
        <f>(SUMIF(Table!F:F,E$4,Table!L:L))/(COUNTIF(Table!F:F,E$4))</f>
        <v>42161.870759819991</v>
      </c>
      <c r="I12" s="334">
        <f>(AVERAGEIF(Table!F:F,E$4,Table!AA:AA))*F12</f>
        <v>9458.9474066372313</v>
      </c>
      <c r="J12" s="334">
        <f>(AVERAGEIF(Table!F:F,E$4,Table!AI:AI))*F12</f>
        <v>699.96210809115519</v>
      </c>
      <c r="K12" s="334">
        <f>_xlfn.XLOOKUP(D12,Table!D:D,Table!AD:AD)</f>
        <v>780.82222438872441</v>
      </c>
      <c r="L12" s="334">
        <f t="shared" si="1"/>
        <v>5323.4110014346606</v>
      </c>
      <c r="M12" s="334">
        <f t="shared" si="2"/>
        <v>2661.7055007173303</v>
      </c>
      <c r="N12" s="431">
        <f t="shared" si="3"/>
        <v>61219.226516498595</v>
      </c>
      <c r="O12" s="443">
        <f>(LOOKUP(2024,Lists!$A$10:$A$15,Lists!$D$10:$D$15))*Table1[[#This Row],[Total Estimate - Current FY]]</f>
        <v>64035.310936257534</v>
      </c>
      <c r="P12" s="436">
        <f>(LOOKUP(2025,Lists!$A$10:$A$15,Lists!$D$10:$D$15))*Table1[[#This Row],[Total Estimate - Current FY]]</f>
        <v>66724.793995580359</v>
      </c>
      <c r="Q12" s="436">
        <f>(LOOKUP(2026,Lists!$A$10:$A$15,Lists!$D$10:$D$15))*Table1[[#This Row],[Total Estimate - Current FY]]</f>
        <v>69393.785755403558</v>
      </c>
      <c r="R12" s="436">
        <f>(LOOKUP(2027,Lists!$A$10:$A$15,Lists!$D$10:$D$15))*Table1[[#This Row],[Total Estimate - Current FY]]</f>
        <v>72169.537185619716</v>
      </c>
      <c r="S12" s="431">
        <f>(LOOKUP(2028,Lists!$A$10:$A$15,Lists!$D$10:$D$15))*Table1[[#This Row],[Total Estimate - Current FY]]</f>
        <v>75200.657747415738</v>
      </c>
    </row>
    <row r="13" spans="2:19" x14ac:dyDescent="0.25">
      <c r="B13" s="415">
        <v>3</v>
      </c>
      <c r="C13" s="458" t="s">
        <v>370</v>
      </c>
      <c r="D13" s="263" t="str">
        <f t="shared" si="0"/>
        <v>3-Private</v>
      </c>
      <c r="E13" s="402" t="str">
        <f>_xlfn.XLOOKUP(D13,Table!D:D,Table!E:E)</f>
        <v>Local Canal - Direct Benefit</v>
      </c>
      <c r="F13" s="406">
        <f>_xlfn.XLOOKUP(D13,Table!D:D,Table!S:S)</f>
        <v>424.82928913347774</v>
      </c>
      <c r="G13" s="334">
        <f>(AVERAGEIF(Table!F:F,E$4,Table!K:K))*F13</f>
        <v>266.13594718148693</v>
      </c>
      <c r="H13" s="334">
        <f>(SUMIF(Table!F:F,E$4,Table!L:L))/(COUNTIF(Table!F:F,E$4))</f>
        <v>42161.870759819991</v>
      </c>
      <c r="I13" s="334">
        <f>(AVERAGEIF(Table!F:F,E$4,Table!AA:AA))*F13</f>
        <v>18997.910568510859</v>
      </c>
      <c r="J13" s="334">
        <f>(AVERAGEIF(Table!F:F,E$4,Table!AI:AI))*F13</f>
        <v>1405.8453820698039</v>
      </c>
      <c r="K13" s="334">
        <f>_xlfn.XLOOKUP(D13,Table!D:D,Table!AD:AD)</f>
        <v>1011.5559900823251</v>
      </c>
      <c r="L13" s="334">
        <f t="shared" si="1"/>
        <v>6384.3318647664473</v>
      </c>
      <c r="M13" s="334">
        <f t="shared" si="2"/>
        <v>3192.1659323832237</v>
      </c>
      <c r="N13" s="431">
        <f t="shared" si="3"/>
        <v>73419.816444814147</v>
      </c>
      <c r="O13" s="443">
        <f>(LOOKUP(2024,Lists!$A$10:$A$15,Lists!$D$10:$D$15))*Table1[[#This Row],[Total Estimate - Current FY]]</f>
        <v>76797.128001275603</v>
      </c>
      <c r="P13" s="436">
        <f>(LOOKUP(2025,Lists!$A$10:$A$15,Lists!$D$10:$D$15))*Table1[[#This Row],[Total Estimate - Current FY]]</f>
        <v>80022.607377329186</v>
      </c>
      <c r="Q13" s="436">
        <f>(LOOKUP(2026,Lists!$A$10:$A$15,Lists!$D$10:$D$15))*Table1[[#This Row],[Total Estimate - Current FY]]</f>
        <v>83223.511672422348</v>
      </c>
      <c r="R13" s="436">
        <f>(LOOKUP(2027,Lists!$A$10:$A$15,Lists!$D$10:$D$15))*Table1[[#This Row],[Total Estimate - Current FY]]</f>
        <v>86552.452139319241</v>
      </c>
      <c r="S13" s="431">
        <f>(LOOKUP(2028,Lists!$A$10:$A$15,Lists!$D$10:$D$15))*Table1[[#This Row],[Total Estimate - Current FY]]</f>
        <v>90187.655129170642</v>
      </c>
    </row>
    <row r="14" spans="2:19" x14ac:dyDescent="0.25">
      <c r="B14" s="415">
        <v>4</v>
      </c>
      <c r="C14" s="458" t="s">
        <v>370</v>
      </c>
      <c r="D14" s="263" t="str">
        <f t="shared" si="0"/>
        <v>4-Private</v>
      </c>
      <c r="E14" s="402" t="str">
        <f>_xlfn.XLOOKUP(D14,Table!D:D,Table!E:E)</f>
        <v>Local Canal - Direct Benefit</v>
      </c>
      <c r="F14" s="406">
        <f>_xlfn.XLOOKUP(D14,Table!D:D,Table!S:S)</f>
        <v>612.91313911341047</v>
      </c>
      <c r="G14" s="334">
        <f>(AVERAGEIF(Table!F:F,E$4,Table!K:K))*F14</f>
        <v>383.96180063440869</v>
      </c>
      <c r="H14" s="334">
        <f>(SUMIF(Table!F:F,E$4,Table!L:L))/(COUNTIF(Table!F:F,E$4))</f>
        <v>42161.870759819991</v>
      </c>
      <c r="I14" s="334">
        <f>(AVERAGEIF(Table!F:F,E$4,Table!AA:AA))*F14</f>
        <v>27408.8187914072</v>
      </c>
      <c r="J14" s="334">
        <f>(AVERAGEIF(Table!F:F,E$4,Table!AI:AI))*F14</f>
        <v>2028.252590564133</v>
      </c>
      <c r="K14" s="334">
        <f>_xlfn.XLOOKUP(D14,Table!D:D,Table!AD:AD)</f>
        <v>1994.3700577945131</v>
      </c>
      <c r="L14" s="334">
        <f t="shared" si="1"/>
        <v>7397.727400022025</v>
      </c>
      <c r="M14" s="334">
        <f t="shared" si="2"/>
        <v>3698.8637000110125</v>
      </c>
      <c r="N14" s="431">
        <f t="shared" si="3"/>
        <v>85073.865100253286</v>
      </c>
      <c r="O14" s="443">
        <f>(LOOKUP(2024,Lists!$A$10:$A$15,Lists!$D$10:$D$15))*Table1[[#This Row],[Total Estimate - Current FY]]</f>
        <v>88987.262894864936</v>
      </c>
      <c r="P14" s="436">
        <f>(LOOKUP(2025,Lists!$A$10:$A$15,Lists!$D$10:$D$15))*Table1[[#This Row],[Total Estimate - Current FY]]</f>
        <v>92724.727936449272</v>
      </c>
      <c r="Q14" s="436">
        <f>(LOOKUP(2026,Lists!$A$10:$A$15,Lists!$D$10:$D$15))*Table1[[#This Row],[Total Estimate - Current FY]]</f>
        <v>96433.717053907239</v>
      </c>
      <c r="R14" s="436">
        <f>(LOOKUP(2027,Lists!$A$10:$A$15,Lists!$D$10:$D$15))*Table1[[#This Row],[Total Estimate - Current FY]]</f>
        <v>100291.06573606354</v>
      </c>
      <c r="S14" s="431">
        <f>(LOOKUP(2028,Lists!$A$10:$A$15,Lists!$D$10:$D$15))*Table1[[#This Row],[Total Estimate - Current FY]]</f>
        <v>104503.2904969782</v>
      </c>
    </row>
    <row r="15" spans="2:19" x14ac:dyDescent="0.25">
      <c r="B15" s="415">
        <v>5</v>
      </c>
      <c r="C15" s="458" t="s">
        <v>370</v>
      </c>
      <c r="D15" s="263" t="str">
        <f t="shared" si="0"/>
        <v>5-Private</v>
      </c>
      <c r="E15" s="402" t="str">
        <f>_xlfn.XLOOKUP(D15,Table!D:D,Table!E:E)</f>
        <v>Local Canal - Direct Benefit</v>
      </c>
      <c r="F15" s="406">
        <f>_xlfn.XLOOKUP(D15,Table!D:D,Table!S:S)</f>
        <v>639.527471644304</v>
      </c>
      <c r="G15" s="334">
        <f>(AVERAGEIF(Table!F:F,E$4,Table!K:K))*F15</f>
        <v>400.63445192726005</v>
      </c>
      <c r="H15" s="334">
        <f>(SUMIF(Table!F:F,E$4,Table!L:L))/(COUNTIF(Table!F:F,E$4))</f>
        <v>42161.870759819991</v>
      </c>
      <c r="I15" s="334">
        <f>(AVERAGEIF(Table!F:F,E$4,Table!AA:AA))*F15</f>
        <v>28598.983222616331</v>
      </c>
      <c r="J15" s="334">
        <f>(AVERAGEIF(Table!F:F,E$4,Table!AI:AI))*F15</f>
        <v>2116.3247584736087</v>
      </c>
      <c r="K15" s="334">
        <f>_xlfn.XLOOKUP(D15,Table!D:D,Table!AD:AD)</f>
        <v>2001.8748930800489</v>
      </c>
      <c r="L15" s="334">
        <f t="shared" si="1"/>
        <v>7527.9688085917242</v>
      </c>
      <c r="M15" s="334">
        <f t="shared" si="2"/>
        <v>3763.9844042958621</v>
      </c>
      <c r="N15" s="431">
        <f t="shared" si="3"/>
        <v>86571.641298804825</v>
      </c>
      <c r="O15" s="443">
        <f>(LOOKUP(2024,Lists!$A$10:$A$15,Lists!$D$10:$D$15))*Table1[[#This Row],[Total Estimate - Current FY]]</f>
        <v>90553.936798549854</v>
      </c>
      <c r="P15" s="436">
        <f>(LOOKUP(2025,Lists!$A$10:$A$15,Lists!$D$10:$D$15))*Table1[[#This Row],[Total Estimate - Current FY]]</f>
        <v>94357.202144088951</v>
      </c>
      <c r="Q15" s="436">
        <f>(LOOKUP(2026,Lists!$A$10:$A$15,Lists!$D$10:$D$15))*Table1[[#This Row],[Total Estimate - Current FY]]</f>
        <v>98131.490229852512</v>
      </c>
      <c r="R15" s="436">
        <f>(LOOKUP(2027,Lists!$A$10:$A$15,Lists!$D$10:$D$15))*Table1[[#This Row],[Total Estimate - Current FY]]</f>
        <v>102056.74983904661</v>
      </c>
      <c r="S15" s="431">
        <f>(LOOKUP(2028,Lists!$A$10:$A$15,Lists!$D$10:$D$15))*Table1[[#This Row],[Total Estimate - Current FY]]</f>
        <v>106343.13333228657</v>
      </c>
    </row>
    <row r="16" spans="2:19" x14ac:dyDescent="0.25">
      <c r="B16" s="415">
        <v>6</v>
      </c>
      <c r="C16" s="458" t="s">
        <v>370</v>
      </c>
      <c r="D16" s="263" t="str">
        <f t="shared" si="0"/>
        <v>6-Private</v>
      </c>
      <c r="E16" s="402" t="str">
        <f>_xlfn.XLOOKUP(D16,Table!D:D,Table!E:E)</f>
        <v>Local Canal - Direct Benefit</v>
      </c>
      <c r="F16" s="406">
        <f>_xlfn.XLOOKUP(D16,Table!D:D,Table!S:S)</f>
        <v>532.48948480627666</v>
      </c>
      <c r="G16" s="334">
        <f>(AVERAGEIF(Table!F:F,E$4,Table!K:K))*F16</f>
        <v>333.58009211689478</v>
      </c>
      <c r="H16" s="334">
        <f>(SUMIF(Table!F:F,E$4,Table!L:L))/(COUNTIF(Table!F:F,E$4))</f>
        <v>42161.870759819991</v>
      </c>
      <c r="I16" s="334">
        <f>(AVERAGEIF(Table!F:F,E$4,Table!AA:AA))*F16</f>
        <v>23812.359151733643</v>
      </c>
      <c r="J16" s="334">
        <f>(AVERAGEIF(Table!F:F,E$4,Table!AI:AI))*F16</f>
        <v>1762.1145772282898</v>
      </c>
      <c r="K16" s="334">
        <f>_xlfn.XLOOKUP(D16,Table!D:D,Table!AD:AD)</f>
        <v>1824.1540064247013</v>
      </c>
      <c r="L16" s="334">
        <f t="shared" si="1"/>
        <v>6989.407858732352</v>
      </c>
      <c r="M16" s="334">
        <f t="shared" si="2"/>
        <v>3494.703929366176</v>
      </c>
      <c r="N16" s="431">
        <f t="shared" si="3"/>
        <v>80378.19037542204</v>
      </c>
      <c r="O16" s="443">
        <f>(LOOKUP(2024,Lists!$A$10:$A$15,Lists!$D$10:$D$15))*Table1[[#This Row],[Total Estimate - Current FY]]</f>
        <v>84075.587132691464</v>
      </c>
      <c r="P16" s="436">
        <f>(LOOKUP(2025,Lists!$A$10:$A$15,Lists!$D$10:$D$15))*Table1[[#This Row],[Total Estimate - Current FY]]</f>
        <v>87606.7617922645</v>
      </c>
      <c r="Q16" s="436">
        <f>(LOOKUP(2026,Lists!$A$10:$A$15,Lists!$D$10:$D$15))*Table1[[#This Row],[Total Estimate - Current FY]]</f>
        <v>91111.032263955087</v>
      </c>
      <c r="R16" s="436">
        <f>(LOOKUP(2027,Lists!$A$10:$A$15,Lists!$D$10:$D$15))*Table1[[#This Row],[Total Estimate - Current FY]]</f>
        <v>94755.473554513286</v>
      </c>
      <c r="S16" s="431">
        <f>(LOOKUP(2028,Lists!$A$10:$A$15,Lists!$D$10:$D$15))*Table1[[#This Row],[Total Estimate - Current FY]]</f>
        <v>98735.203443802835</v>
      </c>
    </row>
    <row r="17" spans="2:19" x14ac:dyDescent="0.25">
      <c r="B17" s="415">
        <v>7</v>
      </c>
      <c r="C17" s="458" t="s">
        <v>370</v>
      </c>
      <c r="D17" s="263" t="str">
        <f t="shared" si="0"/>
        <v>7-Private</v>
      </c>
      <c r="E17" s="402" t="str">
        <f>_xlfn.XLOOKUP(D17,Table!D:D,Table!E:E)</f>
        <v>Local Canal - Direct Benefit</v>
      </c>
      <c r="F17" s="406">
        <f>_xlfn.XLOOKUP(D17,Table!D:D,Table!S:S)</f>
        <v>1036.8554967851719</v>
      </c>
      <c r="G17" s="334">
        <f>(AVERAGEIF(Table!F:F,E$4,Table!K:K))*F17</f>
        <v>649.54212617989594</v>
      </c>
      <c r="H17" s="334">
        <f>(SUMIF(Table!F:F,E$4,Table!L:L))/(COUNTIF(Table!F:F,E$4))</f>
        <v>42161.870759819991</v>
      </c>
      <c r="I17" s="334">
        <f>(AVERAGEIF(Table!F:F,E$4,Table!AA:AA))*F17</f>
        <v>46367.066735374319</v>
      </c>
      <c r="J17" s="334">
        <f>(AVERAGEIF(Table!F:F,E$4,Table!AI:AI))*F17</f>
        <v>3431.1629384177004</v>
      </c>
      <c r="K17" s="334">
        <f>_xlfn.XLOOKUP(D17,Table!D:D,Table!AD:AD)</f>
        <v>3486.5548608441309</v>
      </c>
      <c r="L17" s="334">
        <f t="shared" si="1"/>
        <v>9609.6197420636054</v>
      </c>
      <c r="M17" s="334">
        <f t="shared" si="2"/>
        <v>4804.8098710318027</v>
      </c>
      <c r="N17" s="431">
        <f t="shared" si="3"/>
        <v>110510.62703373145</v>
      </c>
      <c r="O17" s="443">
        <f>(LOOKUP(2024,Lists!$A$10:$A$15,Lists!$D$10:$D$15))*Table1[[#This Row],[Total Estimate - Current FY]]</f>
        <v>115594.1158772831</v>
      </c>
      <c r="P17" s="436">
        <f>(LOOKUP(2025,Lists!$A$10:$A$15,Lists!$D$10:$D$15))*Table1[[#This Row],[Total Estimate - Current FY]]</f>
        <v>120449.06874412901</v>
      </c>
      <c r="Q17" s="436">
        <f>(LOOKUP(2026,Lists!$A$10:$A$15,Lists!$D$10:$D$15))*Table1[[#This Row],[Total Estimate - Current FY]]</f>
        <v>125267.03149389416</v>
      </c>
      <c r="R17" s="436">
        <f>(LOOKUP(2027,Lists!$A$10:$A$15,Lists!$D$10:$D$15))*Table1[[#This Row],[Total Estimate - Current FY]]</f>
        <v>130277.71275364992</v>
      </c>
      <c r="S17" s="431">
        <f>(LOOKUP(2028,Lists!$A$10:$A$15,Lists!$D$10:$D$15))*Table1[[#This Row],[Total Estimate - Current FY]]</f>
        <v>135749.37668930323</v>
      </c>
    </row>
    <row r="18" spans="2:19" x14ac:dyDescent="0.25">
      <c r="B18" s="415" t="s">
        <v>179</v>
      </c>
      <c r="C18" s="458" t="s">
        <v>370</v>
      </c>
      <c r="D18" s="263" t="str">
        <f t="shared" si="0"/>
        <v>7A-Private</v>
      </c>
      <c r="E18" s="402" t="str">
        <f>_xlfn.XLOOKUP(D18,Table!D:D,Table!E:E)</f>
        <v>Local Canal - Direct Benefit</v>
      </c>
      <c r="F18" s="406">
        <f>_xlfn.XLOOKUP(D18,Table!D:D,Table!S:S)</f>
        <v>978.01803865173326</v>
      </c>
      <c r="G18" s="334">
        <f>(AVERAGEIF(Table!F:F,E$4,Table!K:K))*F18</f>
        <v>612.68317353556938</v>
      </c>
      <c r="H18" s="334">
        <f>(SUMIF(Table!F:F,E$4,Table!L:L))/(COUNTIF(Table!F:F,E$4))</f>
        <v>42161.870759819991</v>
      </c>
      <c r="I18" s="334">
        <f>(AVERAGEIF(Table!F:F,E$4,Table!AA:AA))*F18</f>
        <v>43735.918657101472</v>
      </c>
      <c r="J18" s="334">
        <f>(AVERAGEIF(Table!F:F,E$4,Table!AI:AI))*F18</f>
        <v>3236.4579806255097</v>
      </c>
      <c r="K18" s="334">
        <f>_xlfn.XLOOKUP(D18,Table!D:D,Table!AD:AD)</f>
        <v>7741.1577583569242</v>
      </c>
      <c r="L18" s="334">
        <f t="shared" si="1"/>
        <v>9748.808832943947</v>
      </c>
      <c r="M18" s="334">
        <f t="shared" si="2"/>
        <v>4874.4044164719735</v>
      </c>
      <c r="N18" s="431">
        <f t="shared" si="3"/>
        <v>112111.30157885539</v>
      </c>
      <c r="O18" s="443">
        <f>(LOOKUP(2024,Lists!$A$10:$A$15,Lists!$D$10:$D$15))*Table1[[#This Row],[Total Estimate - Current FY]]</f>
        <v>117268.42145148275</v>
      </c>
      <c r="P18" s="436">
        <f>(LOOKUP(2025,Lists!$A$10:$A$15,Lists!$D$10:$D$15))*Table1[[#This Row],[Total Estimate - Current FY]]</f>
        <v>122193.69515244503</v>
      </c>
      <c r="Q18" s="436">
        <f>(LOOKUP(2026,Lists!$A$10:$A$15,Lists!$D$10:$D$15))*Table1[[#This Row],[Total Estimate - Current FY]]</f>
        <v>127081.44295854282</v>
      </c>
      <c r="R18" s="436">
        <f>(LOOKUP(2027,Lists!$A$10:$A$15,Lists!$D$10:$D$15))*Table1[[#This Row],[Total Estimate - Current FY]]</f>
        <v>132164.70067688453</v>
      </c>
      <c r="S18" s="431">
        <f>(LOOKUP(2028,Lists!$A$10:$A$15,Lists!$D$10:$D$15))*Table1[[#This Row],[Total Estimate - Current FY]]</f>
        <v>137715.61810531368</v>
      </c>
    </row>
    <row r="19" spans="2:19" x14ac:dyDescent="0.25">
      <c r="B19" s="415">
        <v>8</v>
      </c>
      <c r="C19" s="458" t="s">
        <v>370</v>
      </c>
      <c r="D19" s="263" t="str">
        <f t="shared" si="0"/>
        <v>8-Private</v>
      </c>
      <c r="E19" s="402" t="str">
        <f>_xlfn.XLOOKUP(D19,Table!D:D,Table!E:E)</f>
        <v>Local Canal - Direct Benefit</v>
      </c>
      <c r="F19" s="406">
        <f>_xlfn.XLOOKUP(D19,Table!D:D,Table!S:S)</f>
        <v>1019.8543278494351</v>
      </c>
      <c r="G19" s="334">
        <f>(AVERAGEIF(Table!F:F,E$4,Table!K:K))*F19</f>
        <v>638.89167830909673</v>
      </c>
      <c r="H19" s="334">
        <f>(SUMIF(Table!F:F,E$4,Table!L:L))/(COUNTIF(Table!F:F,E$4))</f>
        <v>42161.870759819991</v>
      </c>
      <c r="I19" s="334">
        <f>(AVERAGEIF(Table!F:F,E$4,Table!AA:AA))*F19</f>
        <v>45606.792678799575</v>
      </c>
      <c r="J19" s="334">
        <f>(AVERAGEIF(Table!F:F,E$4,Table!AI:AI))*F19</f>
        <v>3374.9026582311694</v>
      </c>
      <c r="K19" s="334">
        <f>_xlfn.XLOOKUP(D19,Table!D:D,Table!AD:AD)</f>
        <v>3527.5919388948264</v>
      </c>
      <c r="L19" s="334">
        <f t="shared" si="1"/>
        <v>9531.0049714054658</v>
      </c>
      <c r="M19" s="334">
        <f t="shared" si="2"/>
        <v>4765.5024857027329</v>
      </c>
      <c r="N19" s="431">
        <f t="shared" si="3"/>
        <v>109606.55717116284</v>
      </c>
      <c r="O19" s="443">
        <f>(LOOKUP(2024,Lists!$A$10:$A$15,Lists!$D$10:$D$15))*Table1[[#This Row],[Total Estimate - Current FY]]</f>
        <v>114648.45880103634</v>
      </c>
      <c r="P19" s="436">
        <f>(LOOKUP(2025,Lists!$A$10:$A$15,Lists!$D$10:$D$15))*Table1[[#This Row],[Total Estimate - Current FY]]</f>
        <v>119463.69407067988</v>
      </c>
      <c r="Q19" s="436">
        <f>(LOOKUP(2026,Lists!$A$10:$A$15,Lists!$D$10:$D$15))*Table1[[#This Row],[Total Estimate - Current FY]]</f>
        <v>124242.24183350707</v>
      </c>
      <c r="R19" s="436">
        <f>(LOOKUP(2027,Lists!$A$10:$A$15,Lists!$D$10:$D$15))*Table1[[#This Row],[Total Estimate - Current FY]]</f>
        <v>129211.93150684735</v>
      </c>
      <c r="S19" s="431">
        <f>(LOOKUP(2028,Lists!$A$10:$A$15,Lists!$D$10:$D$15))*Table1[[#This Row],[Total Estimate - Current FY]]</f>
        <v>134638.83263013494</v>
      </c>
    </row>
    <row r="20" spans="2:19" x14ac:dyDescent="0.25">
      <c r="B20" s="415">
        <v>9</v>
      </c>
      <c r="C20" s="458" t="s">
        <v>370</v>
      </c>
      <c r="D20" s="263" t="str">
        <f t="shared" si="0"/>
        <v>9-Private</v>
      </c>
      <c r="E20" s="402" t="str">
        <f>_xlfn.XLOOKUP(D20,Table!D:D,Table!E:E)</f>
        <v>Local Canal - Direct Benefit</v>
      </c>
      <c r="F20" s="406">
        <f>_xlfn.XLOOKUP(D20,Table!D:D,Table!S:S)</f>
        <v>779.33924493877919</v>
      </c>
      <c r="G20" s="334">
        <f>(AVERAGEIF(Table!F:F,E$4,Table!K:K))*F20</f>
        <v>488.22007670549363</v>
      </c>
      <c r="H20" s="334">
        <f>(SUMIF(Table!F:F,E$4,Table!L:L))/(COUNTIF(Table!F:F,E$4))</f>
        <v>42161.870759819991</v>
      </c>
      <c r="I20" s="334">
        <f>(AVERAGEIF(Table!F:F,E$4,Table!AA:AA))*F20</f>
        <v>34851.215903868258</v>
      </c>
      <c r="J20" s="334">
        <f>(AVERAGEIF(Table!F:F,E$4,Table!AI:AI))*F20</f>
        <v>2578.9899768862515</v>
      </c>
      <c r="K20" s="334">
        <f>_xlfn.XLOOKUP(D20,Table!D:D,Table!AD:AD)</f>
        <v>2620.6246107705001</v>
      </c>
      <c r="L20" s="334">
        <f t="shared" si="1"/>
        <v>8270.0921328050499</v>
      </c>
      <c r="M20" s="334">
        <f t="shared" si="2"/>
        <v>4135.046066402525</v>
      </c>
      <c r="N20" s="431">
        <f t="shared" si="3"/>
        <v>95106.059527258069</v>
      </c>
      <c r="O20" s="443">
        <f>(LOOKUP(2024,Lists!$A$10:$A$15,Lists!$D$10:$D$15))*Table1[[#This Row],[Total Estimate - Current FY]]</f>
        <v>99480.938265511941</v>
      </c>
      <c r="P20" s="436">
        <f>(LOOKUP(2025,Lists!$A$10:$A$15,Lists!$D$10:$D$15))*Table1[[#This Row],[Total Estimate - Current FY]]</f>
        <v>103659.13767266345</v>
      </c>
      <c r="Q20" s="436">
        <f>(LOOKUP(2026,Lists!$A$10:$A$15,Lists!$D$10:$D$15))*Table1[[#This Row],[Total Estimate - Current FY]]</f>
        <v>107805.50317956999</v>
      </c>
      <c r="R20" s="436">
        <f>(LOOKUP(2027,Lists!$A$10:$A$15,Lists!$D$10:$D$15))*Table1[[#This Row],[Total Estimate - Current FY]]</f>
        <v>112117.72330675278</v>
      </c>
      <c r="S20" s="431">
        <f>(LOOKUP(2028,Lists!$A$10:$A$15,Lists!$D$10:$D$15))*Table1[[#This Row],[Total Estimate - Current FY]]</f>
        <v>116826.66768563641</v>
      </c>
    </row>
    <row r="21" spans="2:19" x14ac:dyDescent="0.25">
      <c r="B21" s="415">
        <v>10</v>
      </c>
      <c r="C21" s="458" t="s">
        <v>370</v>
      </c>
      <c r="D21" s="263" t="str">
        <f t="shared" si="0"/>
        <v>10-Private</v>
      </c>
      <c r="E21" s="402" t="str">
        <f>_xlfn.XLOOKUP(D21,Table!D:D,Table!E:E)</f>
        <v>Local Canal - Direct Benefit</v>
      </c>
      <c r="F21" s="406">
        <f>_xlfn.XLOOKUP(D21,Table!D:D,Table!S:S)</f>
        <v>499.17484947846293</v>
      </c>
      <c r="G21" s="334">
        <f>(AVERAGEIF(Table!F:F,E$4,Table!K:K))*F21</f>
        <v>312.7100102869486</v>
      </c>
      <c r="H21" s="334">
        <f>(SUMIF(Table!F:F,E$4,Table!L:L))/(COUNTIF(Table!F:F,E$4))</f>
        <v>42161.870759819991</v>
      </c>
      <c r="I21" s="334">
        <f>(AVERAGEIF(Table!F:F,E$4,Table!AA:AA))*F21</f>
        <v>22322.564359403532</v>
      </c>
      <c r="J21" s="334">
        <f>(AVERAGEIF(Table!F:F,E$4,Table!AI:AI))*F21</f>
        <v>1651.8697625958616</v>
      </c>
      <c r="K21" s="334">
        <f>_xlfn.XLOOKUP(D21,Table!D:D,Table!AD:AD)</f>
        <v>1409.471937562223</v>
      </c>
      <c r="L21" s="334">
        <f t="shared" si="1"/>
        <v>6785.8486829668564</v>
      </c>
      <c r="M21" s="334">
        <f t="shared" si="2"/>
        <v>3392.9243414834282</v>
      </c>
      <c r="N21" s="431">
        <f t="shared" si="3"/>
        <v>78037.259854118849</v>
      </c>
      <c r="O21" s="443">
        <f>(LOOKUP(2024,Lists!$A$10:$A$15,Lists!$D$10:$D$15))*Table1[[#This Row],[Total Estimate - Current FY]]</f>
        <v>81626.973807408314</v>
      </c>
      <c r="P21" s="436">
        <f>(LOOKUP(2025,Lists!$A$10:$A$15,Lists!$D$10:$D$15))*Table1[[#This Row],[Total Estimate - Current FY]]</f>
        <v>85055.306707319469</v>
      </c>
      <c r="Q21" s="436">
        <f>(LOOKUP(2026,Lists!$A$10:$A$15,Lists!$D$10:$D$15))*Table1[[#This Row],[Total Estimate - Current FY]]</f>
        <v>88457.518975612256</v>
      </c>
      <c r="R21" s="436">
        <f>(LOOKUP(2027,Lists!$A$10:$A$15,Lists!$D$10:$D$15))*Table1[[#This Row],[Total Estimate - Current FY]]</f>
        <v>91995.819734636738</v>
      </c>
      <c r="S21" s="431">
        <f>(LOOKUP(2028,Lists!$A$10:$A$15,Lists!$D$10:$D$15))*Table1[[#This Row],[Total Estimate - Current FY]]</f>
        <v>95859.644163491481</v>
      </c>
    </row>
    <row r="22" spans="2:19" x14ac:dyDescent="0.25">
      <c r="B22" s="415"/>
      <c r="F22" s="407"/>
      <c r="G22" s="407"/>
      <c r="H22" s="407"/>
      <c r="I22" s="407"/>
      <c r="J22" s="407"/>
      <c r="K22" s="407"/>
      <c r="L22" s="407"/>
      <c r="M22" s="407"/>
      <c r="N22" s="417"/>
      <c r="O22" s="415"/>
      <c r="S22" s="434"/>
    </row>
    <row r="23" spans="2:19" x14ac:dyDescent="0.25">
      <c r="B23" s="481">
        <f>E4</f>
        <v>1</v>
      </c>
      <c r="C23" s="482"/>
      <c r="D23" s="483"/>
      <c r="E23" s="405" t="s">
        <v>651</v>
      </c>
      <c r="F23" s="419">
        <f>SUMIF(Table1[Classification],$E$23,Table1[Estimated Dredge Quantities])</f>
        <v>3606.870057724755</v>
      </c>
      <c r="G23" s="420">
        <f>SUMIF(Table1[Classification],$E$23,Table1[Insurance/Bonding])</f>
        <v>2259.5376630718229</v>
      </c>
      <c r="H23" s="420">
        <f>SUMIF(Table1[Classification],$E$23,Table1[Mob/Demob (LS)])</f>
        <v>126485.61227945998</v>
      </c>
      <c r="I23" s="420">
        <f>SUMIF(Table1[Classification],$E$23,Table1[Dredging &amp; Placement])</f>
        <v>161295.36390643055</v>
      </c>
      <c r="J23" s="420">
        <f>SUMIF(Table1[Classification],$E$23,Table1[Environmental Protection])</f>
        <v>11935.856929075864</v>
      </c>
      <c r="K23" s="420">
        <f>SUMIF(Table1[Classification],$E$23,Table1[Seagrass Transplanting &amp; Monitoring])</f>
        <v>26629.391075932021</v>
      </c>
      <c r="L23" s="420">
        <f>SUMIF(Table1[Classification],$E$23,Table1[Engineering Fees - Plans, Design &amp; Specs])</f>
        <v>32860.576185397018</v>
      </c>
      <c r="M23" s="420">
        <f>SUMIF(Table1[Classification],$E$23,Table1[Construction Administration])</f>
        <v>16430.288092698509</v>
      </c>
      <c r="N23" s="427">
        <f>SUMIF(Table1[Classification],$E$23,Table1[Total Estimate - Current FY])</f>
        <v>377896.62613206578</v>
      </c>
      <c r="O23" s="447">
        <f>(LOOKUP(2024,Lists!$A$10:$A$15,Lists!$D$10:$D$15))*N23</f>
        <v>395279.87093414081</v>
      </c>
      <c r="P23" s="448">
        <f>(LOOKUP(2025,Lists!$A$10:$A$15,Lists!$D$10:$D$15))*N23</f>
        <v>411881.62551337475</v>
      </c>
      <c r="Q23" s="448">
        <f>(LOOKUP(2026,Lists!$A$10:$A$15,Lists!$D$10:$D$15))*N23</f>
        <v>428356.89053390973</v>
      </c>
      <c r="R23" s="448">
        <f>(LOOKUP(2027,Lists!$A$10:$A$15,Lists!$D$10:$D$15))*N23</f>
        <v>445491.16615526617</v>
      </c>
      <c r="S23" s="449">
        <f>(LOOKUP(2028,Lists!$A$10:$A$15,Lists!$D$10:$D$15))*N23</f>
        <v>464201.79513378732</v>
      </c>
    </row>
    <row r="24" spans="2:19" hidden="1" x14ac:dyDescent="0.25">
      <c r="B24" s="484"/>
      <c r="C24" s="485"/>
      <c r="D24" s="486"/>
      <c r="E24" s="402" t="s">
        <v>689</v>
      </c>
      <c r="F24" s="421">
        <f>SUMIF(Table1[Classification],$E$24,Table1[Estimated Dredge Quantities])</f>
        <v>0</v>
      </c>
      <c r="G24" s="422">
        <f>SUMIF(Table1[Classification],$E$24,Table1[Insurance/Bonding])</f>
        <v>0</v>
      </c>
      <c r="H24" s="422">
        <f>SUMIF(Table1[Classification],$E$24,Table1[Mob/Demob (LS)])</f>
        <v>0</v>
      </c>
      <c r="I24" s="422">
        <f>SUMIF(Table1[Classification],$E$24,Table1[Dredging &amp; Placement])</f>
        <v>0</v>
      </c>
      <c r="J24" s="422">
        <f>SUMIF(Table1[Classification],$E$24,Table1[Environmental Protection])</f>
        <v>0</v>
      </c>
      <c r="K24" s="422">
        <f>SUMIF(Table1[Classification],$E$24,Table1[Seagrass Transplanting &amp; Monitoring])</f>
        <v>0</v>
      </c>
      <c r="L24" s="422">
        <f>SUMIF(Table1[Classification],$E$24,Table1[Engineering Fees - Plans, Design &amp; Specs])</f>
        <v>0</v>
      </c>
      <c r="M24" s="422">
        <f>SUMIF(Table1[Classification],$E$24,Table1[Construction Administration])</f>
        <v>0</v>
      </c>
      <c r="N24" s="428">
        <f>SUMIF(Table1[Classification],$E$24,Table1[Total Estimate - Current FY])</f>
        <v>0</v>
      </c>
      <c r="O24" s="450">
        <f>(LOOKUP(2024,Lists!$A$10:$A$15,Lists!$D$10:$D$15))*N24</f>
        <v>0</v>
      </c>
      <c r="P24" s="451">
        <f>(LOOKUP(2025,Lists!$A$10:$A$15,Lists!$D$10:$D$15))*N24</f>
        <v>0</v>
      </c>
      <c r="Q24" s="451">
        <f>(LOOKUP(2026,Lists!$A$10:$A$15,Lists!$D$10:$D$15))*N24</f>
        <v>0</v>
      </c>
      <c r="R24" s="451">
        <f>(LOOKUP(2027,Lists!$A$10:$A$15,Lists!$D$10:$D$15))*N24</f>
        <v>0</v>
      </c>
      <c r="S24" s="452">
        <f>(LOOKUP(2028,Lists!$A$10:$A$15,Lists!$D$10:$D$15))*N24</f>
        <v>0</v>
      </c>
    </row>
    <row r="25" spans="2:19" ht="14.45" customHeight="1" thickBot="1" x14ac:dyDescent="0.3">
      <c r="B25" s="487"/>
      <c r="C25" s="488"/>
      <c r="D25" s="489"/>
      <c r="E25" s="418" t="s">
        <v>650</v>
      </c>
      <c r="F25" s="423">
        <f>SUMIF(Table1[Classification],$E$25,Table1[Estimated Dredge Quantities])</f>
        <v>13444.131076649019</v>
      </c>
      <c r="G25" s="424">
        <f>SUMIF(Table1[Classification],$E$25,Table1[Insurance/Bonding])</f>
        <v>8422.1277808175873</v>
      </c>
      <c r="H25" s="424">
        <f>SUMIF(Table1[Classification],$E$25,Table1[Mob/Demob (LS)])</f>
        <v>548104.3198776599</v>
      </c>
      <c r="I25" s="424">
        <f>SUMIF(Table1[Classification],$E$25,Table1[Dredging &amp; Placement])</f>
        <v>601207.13519182045</v>
      </c>
      <c r="J25" s="424">
        <f>SUMIF(Table1[Classification],$E$25,Table1[Environmental Protection])</f>
        <v>44489.328004194722</v>
      </c>
      <c r="K25" s="424">
        <f>SUMIF(Table1[Classification],$E$25,Table1[Seagrass Transplanting &amp; Monitoring])</f>
        <v>78759.57374272868</v>
      </c>
      <c r="L25" s="424">
        <f>SUMIF(Table1[Classification],$E$25,Table1[Engineering Fees - Plans, Design &amp; Specs])</f>
        <v>128098.24845972212</v>
      </c>
      <c r="M25" s="424">
        <f>SUMIF(Table1[Classification],$E$25,Table1[Construction Administration])</f>
        <v>64049.12422986106</v>
      </c>
      <c r="N25" s="429">
        <f>SUMIF(Table1[Classification],$E$25,Table1[Total Estimate - Current FY])</f>
        <v>1473129.8572868046</v>
      </c>
      <c r="O25" s="453">
        <f>(LOOKUP(2024,Lists!$A$10:$A$15,Lists!$D$10:$D$15))*N25</f>
        <v>1540893.8307219977</v>
      </c>
      <c r="P25" s="454">
        <f>(LOOKUP(2025,Lists!$A$10:$A$15,Lists!$D$10:$D$15))*N25</f>
        <v>1605611.3716123216</v>
      </c>
      <c r="Q25" s="454">
        <f>(LOOKUP(2026,Lists!$A$10:$A$15,Lists!$D$10:$D$15))*N25</f>
        <v>1669835.8264768145</v>
      </c>
      <c r="R25" s="454">
        <f>(LOOKUP(2027,Lists!$A$10:$A$15,Lists!$D$10:$D$15))*N25</f>
        <v>1736629.259535887</v>
      </c>
      <c r="S25" s="455">
        <f>(LOOKUP(2028,Lists!$A$10:$A$15,Lists!$D$10:$D$15))*N25</f>
        <v>1809567.6884363943</v>
      </c>
    </row>
    <row r="26" spans="2:19" ht="14.45" customHeight="1" thickBot="1" x14ac:dyDescent="0.3"/>
    <row r="27" spans="2:19" x14ac:dyDescent="0.25">
      <c r="B27" s="410" t="s">
        <v>652</v>
      </c>
      <c r="C27" s="411"/>
      <c r="D27" s="411"/>
      <c r="E27" s="467">
        <v>2</v>
      </c>
      <c r="F27" s="412"/>
      <c r="G27" s="412"/>
      <c r="H27" s="412"/>
      <c r="I27" s="412"/>
      <c r="J27" s="412"/>
      <c r="K27" s="412"/>
      <c r="L27" s="412"/>
      <c r="M27" s="413"/>
      <c r="N27" s="412"/>
      <c r="O27" s="490" t="s">
        <v>681</v>
      </c>
      <c r="P27" s="491"/>
      <c r="Q27" s="491"/>
      <c r="R27" s="491"/>
      <c r="S27" s="492"/>
    </row>
    <row r="28" spans="2:19" ht="30" x14ac:dyDescent="0.25">
      <c r="B28" s="415" t="s">
        <v>653</v>
      </c>
      <c r="C28" s="263" t="s">
        <v>674</v>
      </c>
      <c r="D28" s="263" t="s">
        <v>675</v>
      </c>
      <c r="E28" s="402" t="s">
        <v>649</v>
      </c>
      <c r="F28" s="401" t="s">
        <v>632</v>
      </c>
      <c r="G28" s="401" t="s">
        <v>594</v>
      </c>
      <c r="H28" s="401" t="s">
        <v>596</v>
      </c>
      <c r="I28" s="401" t="s">
        <v>669</v>
      </c>
      <c r="J28" s="401" t="s">
        <v>415</v>
      </c>
      <c r="K28" s="401" t="s">
        <v>668</v>
      </c>
      <c r="L28" s="401" t="s">
        <v>617</v>
      </c>
      <c r="M28" s="401" t="s">
        <v>618</v>
      </c>
      <c r="N28" s="401" t="s">
        <v>680</v>
      </c>
      <c r="O28" s="440" t="s">
        <v>682</v>
      </c>
      <c r="P28" s="401" t="s">
        <v>683</v>
      </c>
      <c r="Q28" s="401" t="s">
        <v>684</v>
      </c>
      <c r="R28" s="401" t="s">
        <v>685</v>
      </c>
      <c r="S28" s="430" t="s">
        <v>686</v>
      </c>
    </row>
    <row r="29" spans="2:19" x14ac:dyDescent="0.25">
      <c r="B29" s="415">
        <v>11</v>
      </c>
      <c r="C29" s="458" t="s">
        <v>370</v>
      </c>
      <c r="D29" s="263" t="str">
        <f>B29&amp;"-"&amp;C29</f>
        <v>11-Private</v>
      </c>
      <c r="E29" s="402" t="str">
        <f>_xlfn.XLOOKUP(D29,Table!D:D,Table!E:E)</f>
        <v>Local Canal - Direct Benefit</v>
      </c>
      <c r="F29" s="406">
        <f>_xlfn.XLOOKUP(D29,Table!D:D,Table!S:S)</f>
        <v>1746.8104685859607</v>
      </c>
      <c r="G29" s="334">
        <f>(AVERAGEIF(Table!F:F,E$27,Table!K:K))*F29</f>
        <v>1070.3797212427696</v>
      </c>
      <c r="H29" s="334">
        <f>(SUMIF(Table!F:F,E$27,Table!L:L))/(COUNTIF(Table!F:F,E$27))</f>
        <v>37477.218453173322</v>
      </c>
      <c r="I29" s="334">
        <f>(AVERAGEIF(Table!F:F,E$27,Table!AA:AA))*F29</f>
        <v>76408.235842904091</v>
      </c>
      <c r="J29" s="334">
        <f>(AVERAGEIF(Table!F:F,E$27,Table!AI:AI))*F29</f>
        <v>5654.2094523749038</v>
      </c>
      <c r="K29" s="334">
        <f>_xlfn.XLOOKUP(D29,Table!D:D,Table!AD:AD)</f>
        <v>14227.570927910865</v>
      </c>
      <c r="L29" s="334">
        <f>SUM(G29:K29)*0.1</f>
        <v>13483.761439760594</v>
      </c>
      <c r="M29" s="334">
        <f>SUM(G29:K29)*0.05</f>
        <v>6741.880719880297</v>
      </c>
      <c r="N29" s="436">
        <f>SUM(G29:M29)</f>
        <v>155063.25655724684</v>
      </c>
      <c r="O29" s="443">
        <f>(LOOKUP(2024,Lists!$A$10:$A$15,Lists!$D$10:$D$15))*Table14[[#This Row],[Total Estimate - Current FY]]</f>
        <v>162196.1663588802</v>
      </c>
      <c r="P29" s="436">
        <f>(LOOKUP(2025,Lists!$A$10:$A$15,Lists!$D$10:$D$15))*Table14[[#This Row],[Total Estimate - Current FY]]</f>
        <v>169008.40534595319</v>
      </c>
      <c r="Q29" s="436">
        <f>(LOOKUP(2026,Lists!$A$10:$A$15,Lists!$D$10:$D$15))*Table14[[#This Row],[Total Estimate - Current FY]]</f>
        <v>175768.74155979132</v>
      </c>
      <c r="R29" s="436">
        <f>(LOOKUP(2027,Lists!$A$10:$A$15,Lists!$D$10:$D$15))*Table14[[#This Row],[Total Estimate - Current FY]]</f>
        <v>182799.49122218296</v>
      </c>
      <c r="S29" s="431">
        <f>(LOOKUP(2028,Lists!$A$10:$A$15,Lists!$D$10:$D$15))*Table14[[#This Row],[Total Estimate - Current FY]]</f>
        <v>190477.06985351464</v>
      </c>
    </row>
    <row r="30" spans="2:19" x14ac:dyDescent="0.25">
      <c r="B30" s="415" t="s">
        <v>183</v>
      </c>
      <c r="C30" s="458" t="s">
        <v>370</v>
      </c>
      <c r="D30" s="263" t="str">
        <f t="shared" ref="D30:D46" si="7">B30&amp;"-"&amp;C30</f>
        <v>11A-Private</v>
      </c>
      <c r="E30" s="402" t="str">
        <f>_xlfn.XLOOKUP(D30,Table!D:D,Table!E:E)</f>
        <v>Local Canal - Direct Benefit</v>
      </c>
      <c r="F30" s="406">
        <f>_xlfn.XLOOKUP(D30,Table!D:D,Table!S:S)</f>
        <v>1689.8144914465424</v>
      </c>
      <c r="G30" s="334">
        <f>(AVERAGEIF(Table!F:F,E$27,Table!K:K))*F30</f>
        <v>1035.4547312569728</v>
      </c>
      <c r="H30" s="334">
        <f>(SUMIF(Table!F:F,E$27,Table!L:L))/(COUNTIF(Table!F:F,E$27))</f>
        <v>37477.218453173322</v>
      </c>
      <c r="I30" s="334">
        <f>(AVERAGEIF(Table!F:F,E$27,Table!AA:AA))*F30</f>
        <v>73915.142206425735</v>
      </c>
      <c r="J30" s="334">
        <f>(AVERAGEIF(Table!F:F,E$27,Table!AI:AI))*F30</f>
        <v>5469.720523275505</v>
      </c>
      <c r="K30" s="334">
        <f>_xlfn.XLOOKUP(D30,Table!D:D,Table!AD:AD)</f>
        <v>13979.751686141683</v>
      </c>
      <c r="L30" s="334">
        <f t="shared" ref="L30:L46" si="8">SUM(G30:K30)*0.1</f>
        <v>13187.728760027325</v>
      </c>
      <c r="M30" s="334">
        <f t="shared" ref="M30:M46" si="9">SUM(G30:K30)*0.05</f>
        <v>6593.8643800136624</v>
      </c>
      <c r="N30" s="436">
        <f t="shared" ref="N30:N46" si="10">SUM(G30:M30)</f>
        <v>151658.88074031423</v>
      </c>
      <c r="O30" s="443">
        <f>(LOOKUP(2024,Lists!$A$10:$A$15,Lists!$D$10:$D$15))*Table14[[#This Row],[Total Estimate - Current FY]]</f>
        <v>158635.18925436868</v>
      </c>
      <c r="P30" s="436">
        <f>(LOOKUP(2025,Lists!$A$10:$A$15,Lists!$D$10:$D$15))*Table14[[#This Row],[Total Estimate - Current FY]]</f>
        <v>165297.86720305218</v>
      </c>
      <c r="Q30" s="436">
        <f>(LOOKUP(2026,Lists!$A$10:$A$15,Lists!$D$10:$D$15))*Table14[[#This Row],[Total Estimate - Current FY]]</f>
        <v>171909.78189117427</v>
      </c>
      <c r="R30" s="436">
        <f>(LOOKUP(2027,Lists!$A$10:$A$15,Lists!$D$10:$D$15))*Table14[[#This Row],[Total Estimate - Current FY]]</f>
        <v>178786.17316682125</v>
      </c>
      <c r="S30" s="431">
        <f>(LOOKUP(2028,Lists!$A$10:$A$15,Lists!$D$10:$D$15))*Table14[[#This Row],[Total Estimate - Current FY]]</f>
        <v>186295.19243982772</v>
      </c>
    </row>
    <row r="31" spans="2:19" x14ac:dyDescent="0.25">
      <c r="B31" s="415" t="s">
        <v>183</v>
      </c>
      <c r="C31" s="458" t="s">
        <v>378</v>
      </c>
      <c r="D31" s="263" t="str">
        <f t="shared" si="7"/>
        <v>11A-Access</v>
      </c>
      <c r="E31" s="402" t="str">
        <f>_xlfn.XLOOKUP(D31,Table!D:D,Table!E:E)</f>
        <v>Access Channel - General Benefit</v>
      </c>
      <c r="F31" s="406">
        <f>_xlfn.XLOOKUP(D31,Table!D:D,Table!S:S)</f>
        <v>432.77250018032225</v>
      </c>
      <c r="G31" s="334">
        <f>(AVERAGEIF(Table!F:F,E$27,Table!K:K))*F31</f>
        <v>265.18670252734069</v>
      </c>
      <c r="H31" s="334">
        <f>(SUMIF(Table!F:F,E$27,Table!L:L))/(COUNTIF(Table!F:F,E$27))</f>
        <v>37477.218453173322</v>
      </c>
      <c r="I31" s="334">
        <f>(AVERAGEIF(Table!F:F,E$27,Table!AA:AA))*F31</f>
        <v>18930.149466569943</v>
      </c>
      <c r="J31" s="334">
        <f>(AVERAGEIF(Table!F:F,E$27,Table!AI:AI))*F31</f>
        <v>1400.8310605261761</v>
      </c>
      <c r="K31" s="334">
        <f>_xlfn.XLOOKUP(D31,Table!D:D,Table!AD:AD)</f>
        <v>1597.5718517401203</v>
      </c>
      <c r="L31" s="334">
        <f t="shared" si="8"/>
        <v>5967.0957534536901</v>
      </c>
      <c r="M31" s="334">
        <f t="shared" si="9"/>
        <v>2983.5478767268451</v>
      </c>
      <c r="N31" s="436">
        <f t="shared" si="10"/>
        <v>68621.601164717445</v>
      </c>
      <c r="O31" s="443">
        <f>(LOOKUP(2024,Lists!$A$10:$A$15,Lists!$D$10:$D$15))*Table14[[#This Row],[Total Estimate - Current FY]]</f>
        <v>71778.194818294447</v>
      </c>
      <c r="P31" s="436">
        <f>(LOOKUP(2025,Lists!$A$10:$A$15,Lists!$D$10:$D$15))*Table14[[#This Row],[Total Estimate - Current FY]]</f>
        <v>74792.879000662826</v>
      </c>
      <c r="Q31" s="436">
        <f>(LOOKUP(2026,Lists!$A$10:$A$15,Lists!$D$10:$D$15))*Table14[[#This Row],[Total Estimate - Current FY]]</f>
        <v>77784.594160689332</v>
      </c>
      <c r="R31" s="436">
        <f>(LOOKUP(2027,Lists!$A$10:$A$15,Lists!$D$10:$D$15))*Table14[[#This Row],[Total Estimate - Current FY]]</f>
        <v>80895.97792711691</v>
      </c>
      <c r="S31" s="431">
        <f>(LOOKUP(2028,Lists!$A$10:$A$15,Lists!$D$10:$D$15))*Table14[[#This Row],[Total Estimate - Current FY]]</f>
        <v>84293.609000055818</v>
      </c>
    </row>
    <row r="32" spans="2:19" x14ac:dyDescent="0.25">
      <c r="B32" s="415" t="s">
        <v>190</v>
      </c>
      <c r="C32" s="458" t="s">
        <v>676</v>
      </c>
      <c r="D32" s="263" t="str">
        <f t="shared" si="7"/>
        <v>11B-Private.1</v>
      </c>
      <c r="E32" s="402" t="str">
        <f>_xlfn.XLOOKUP(D32,Table!D:D,Table!E:E)</f>
        <v>Local Canal - Direct Benefit</v>
      </c>
      <c r="F32" s="406">
        <f>_xlfn.XLOOKUP(D32,Table!D:D,Table!S:S)</f>
        <v>543.72317114109455</v>
      </c>
      <c r="G32" s="334">
        <f>(AVERAGEIF(Table!F:F,E$27,Table!K:K))*F32</f>
        <v>333.17309852760349</v>
      </c>
      <c r="H32" s="334">
        <f>(SUMIF(Table!F:F,E$27,Table!L:L))/(COUNTIF(Table!F:F,E$27))</f>
        <v>37477.218453173322</v>
      </c>
      <c r="I32" s="334">
        <f>(AVERAGEIF(Table!F:F,E$27,Table!AA:AA))*F32</f>
        <v>23783.306226365235</v>
      </c>
      <c r="J32" s="334">
        <f>(AVERAGEIF(Table!F:F,E$27,Table!AI:AI))*F32</f>
        <v>1759.9646607510278</v>
      </c>
      <c r="K32" s="334">
        <f>_xlfn.XLOOKUP(D32,Table!D:D,Table!AD:AD)</f>
        <v>2007.1442455145739</v>
      </c>
      <c r="L32" s="334">
        <f t="shared" si="8"/>
        <v>6536.0806684331765</v>
      </c>
      <c r="M32" s="334">
        <f t="shared" si="9"/>
        <v>3268.0403342165882</v>
      </c>
      <c r="N32" s="436">
        <f t="shared" si="10"/>
        <v>75164.927686981508</v>
      </c>
      <c r="O32" s="443">
        <f>(LOOKUP(2024,Lists!$A$10:$A$15,Lists!$D$10:$D$15))*Table14[[#This Row],[Total Estimate - Current FY]]</f>
        <v>78622.51436058266</v>
      </c>
      <c r="P32" s="436">
        <f>(LOOKUP(2025,Lists!$A$10:$A$15,Lists!$D$10:$D$15))*Table14[[#This Row],[Total Estimate - Current FY]]</f>
        <v>81924.659963727143</v>
      </c>
      <c r="Q32" s="436">
        <f>(LOOKUP(2026,Lists!$A$10:$A$15,Lists!$D$10:$D$15))*Table14[[#This Row],[Total Estimate - Current FY]]</f>
        <v>85201.646362276224</v>
      </c>
      <c r="R32" s="436">
        <f>(LOOKUP(2027,Lists!$A$10:$A$15,Lists!$D$10:$D$15))*Table14[[#This Row],[Total Estimate - Current FY]]</f>
        <v>88609.712216767264</v>
      </c>
      <c r="S32" s="431">
        <f>(LOOKUP(2028,Lists!$A$10:$A$15,Lists!$D$10:$D$15))*Table14[[#This Row],[Total Estimate - Current FY]]</f>
        <v>92331.320129871499</v>
      </c>
    </row>
    <row r="33" spans="2:19" x14ac:dyDescent="0.25">
      <c r="B33" s="415" t="s">
        <v>190</v>
      </c>
      <c r="C33" s="458" t="s">
        <v>370</v>
      </c>
      <c r="D33" s="263" t="str">
        <f t="shared" si="7"/>
        <v>11B-Private</v>
      </c>
      <c r="E33" s="402" t="str">
        <f>_xlfn.XLOOKUP(D33,Table!D:D,Table!E:E)</f>
        <v>Local Canal - Direct Benefit</v>
      </c>
      <c r="F33" s="406">
        <f>_xlfn.XLOOKUP(D33,Table!D:D,Table!S:S)</f>
        <v>209.39974792345816</v>
      </c>
      <c r="G33" s="334">
        <f>(AVERAGEIF(Table!F:F,E$27,Table!K:K))*F33</f>
        <v>128.31228564370579</v>
      </c>
      <c r="H33" s="334">
        <f>(SUMIF(Table!F:F,E$27,Table!L:L))/(COUNTIF(Table!F:F,E$27))</f>
        <v>37477.218453173322</v>
      </c>
      <c r="I33" s="334">
        <f>(AVERAGEIF(Table!F:F,E$27,Table!AA:AA))*F33</f>
        <v>9159.4741458883709</v>
      </c>
      <c r="J33" s="334">
        <f>(AVERAGEIF(Table!F:F,E$27,Table!AI:AI))*F33</f>
        <v>677.80108679573959</v>
      </c>
      <c r="K33" s="334">
        <f>_xlfn.XLOOKUP(D33,Table!D:D,Table!AD:AD)</f>
        <v>724.29644372745486</v>
      </c>
      <c r="L33" s="334">
        <f t="shared" si="8"/>
        <v>4816.7102415228601</v>
      </c>
      <c r="M33" s="334">
        <f t="shared" si="9"/>
        <v>2408.35512076143</v>
      </c>
      <c r="N33" s="436">
        <f t="shared" si="10"/>
        <v>55392.167777512885</v>
      </c>
      <c r="O33" s="443">
        <f>(LOOKUP(2024,Lists!$A$10:$A$15,Lists!$D$10:$D$15))*Table14[[#This Row],[Total Estimate - Current FY]]</f>
        <v>57940.207495278482</v>
      </c>
      <c r="P33" s="436">
        <f>(LOOKUP(2025,Lists!$A$10:$A$15,Lists!$D$10:$D$15))*Table14[[#This Row],[Total Estimate - Current FY]]</f>
        <v>60373.696210080183</v>
      </c>
      <c r="Q33" s="436">
        <f>(LOOKUP(2026,Lists!$A$10:$A$15,Lists!$D$10:$D$15))*Table14[[#This Row],[Total Estimate - Current FY]]</f>
        <v>62788.644058483384</v>
      </c>
      <c r="R33" s="436">
        <f>(LOOKUP(2027,Lists!$A$10:$A$15,Lists!$D$10:$D$15))*Table14[[#This Row],[Total Estimate - Current FY]]</f>
        <v>65300.189820822721</v>
      </c>
      <c r="S33" s="431">
        <f>(LOOKUP(2028,Lists!$A$10:$A$15,Lists!$D$10:$D$15))*Table14[[#This Row],[Total Estimate - Current FY]]</f>
        <v>68042.797793297272</v>
      </c>
    </row>
    <row r="34" spans="2:19" x14ac:dyDescent="0.25">
      <c r="B34" s="415" t="s">
        <v>249</v>
      </c>
      <c r="C34" s="458" t="s">
        <v>370</v>
      </c>
      <c r="D34" s="263" t="str">
        <f t="shared" si="7"/>
        <v>11C-Private</v>
      </c>
      <c r="E34" s="402" t="str">
        <f>_xlfn.XLOOKUP(D34,Table!D:D,Table!E:E)</f>
        <v>Local Canal - Direct Benefit</v>
      </c>
      <c r="F34" s="406">
        <f>_xlfn.XLOOKUP(D34,Table!D:D,Table!S:S)</f>
        <v>638.29395096825169</v>
      </c>
      <c r="G34" s="334">
        <f>(AVERAGEIF(Table!F:F,E$27,Table!K:K))*F34</f>
        <v>391.12251362988792</v>
      </c>
      <c r="H34" s="334">
        <f>(SUMIF(Table!F:F,E$27,Table!L:L))/(COUNTIF(Table!F:F,E$27))</f>
        <v>37477.218453173322</v>
      </c>
      <c r="I34" s="334">
        <f>(AVERAGEIF(Table!F:F,E$27,Table!AA:AA))*F34</f>
        <v>27919.980799154007</v>
      </c>
      <c r="J34" s="334">
        <f>(AVERAGEIF(Table!F:F,E$27,Table!AI:AI))*F34</f>
        <v>2066.0785791373969</v>
      </c>
      <c r="K34" s="334">
        <f>_xlfn.XLOOKUP(D34,Table!D:D,Table!AD:AD)</f>
        <v>5052.1912432840982</v>
      </c>
      <c r="L34" s="334">
        <f t="shared" si="8"/>
        <v>7290.6591588378715</v>
      </c>
      <c r="M34" s="334">
        <f t="shared" si="9"/>
        <v>3645.3295794189357</v>
      </c>
      <c r="N34" s="436">
        <f t="shared" si="10"/>
        <v>83842.580326635507</v>
      </c>
      <c r="O34" s="443">
        <f>(LOOKUP(2024,Lists!$A$10:$A$15,Lists!$D$10:$D$15))*Table14[[#This Row],[Total Estimate - Current FY]]</f>
        <v>87699.339021660737</v>
      </c>
      <c r="P34" s="436">
        <f>(LOOKUP(2025,Lists!$A$10:$A$15,Lists!$D$10:$D$15))*Table14[[#This Row],[Total Estimate - Current FY]]</f>
        <v>91382.711260570504</v>
      </c>
      <c r="Q34" s="436">
        <f>(LOOKUP(2026,Lists!$A$10:$A$15,Lists!$D$10:$D$15))*Table14[[#This Row],[Total Estimate - Current FY]]</f>
        <v>95038.019710993321</v>
      </c>
      <c r="R34" s="436">
        <f>(LOOKUP(2027,Lists!$A$10:$A$15,Lists!$D$10:$D$15))*Table14[[#This Row],[Total Estimate - Current FY]]</f>
        <v>98839.54049943306</v>
      </c>
      <c r="S34" s="431">
        <f>(LOOKUP(2028,Lists!$A$10:$A$15,Lists!$D$10:$D$15))*Table14[[#This Row],[Total Estimate - Current FY]]</f>
        <v>102990.80120040923</v>
      </c>
    </row>
    <row r="35" spans="2:19" x14ac:dyDescent="0.25">
      <c r="B35" s="415">
        <v>12</v>
      </c>
      <c r="C35" s="458" t="s">
        <v>370</v>
      </c>
      <c r="D35" s="263" t="str">
        <f t="shared" si="7"/>
        <v>12-Private</v>
      </c>
      <c r="E35" s="402" t="str">
        <f>_xlfn.XLOOKUP(D35,Table!D:D,Table!E:E)</f>
        <v>Local Canal - Direct Benefit</v>
      </c>
      <c r="F35" s="406">
        <f>_xlfn.XLOOKUP(D35,Table!D:D,Table!S:S)</f>
        <v>1416.1894866615444</v>
      </c>
      <c r="G35" s="334">
        <f>(AVERAGEIF(Table!F:F,E$27,Table!K:K))*F35</f>
        <v>867.78762505746295</v>
      </c>
      <c r="H35" s="334">
        <f>(SUMIF(Table!F:F,E$27,Table!L:L))/(COUNTIF(Table!F:F,E$27))</f>
        <v>37477.218453173322</v>
      </c>
      <c r="I35" s="334">
        <f>(AVERAGEIF(Table!F:F,E$27,Table!AA:AA))*F35</f>
        <v>61946.354364747502</v>
      </c>
      <c r="J35" s="334">
        <f>(AVERAGEIF(Table!F:F,E$27,Table!AI:AI))*F35</f>
        <v>4584.0302229913159</v>
      </c>
      <c r="K35" s="334">
        <f>_xlfn.XLOOKUP(D35,Table!D:D,Table!AD:AD)</f>
        <v>5604.6748621767338</v>
      </c>
      <c r="L35" s="334">
        <f t="shared" si="8"/>
        <v>11048.006552814635</v>
      </c>
      <c r="M35" s="334">
        <f t="shared" si="9"/>
        <v>5524.0032764073176</v>
      </c>
      <c r="N35" s="436">
        <f t="shared" si="10"/>
        <v>127052.07535736829</v>
      </c>
      <c r="O35" s="443">
        <f>(LOOKUP(2024,Lists!$A$10:$A$15,Lists!$D$10:$D$15))*Table14[[#This Row],[Total Estimate - Current FY]]</f>
        <v>132896.47082380723</v>
      </c>
      <c r="P35" s="436">
        <f>(LOOKUP(2025,Lists!$A$10:$A$15,Lists!$D$10:$D$15))*Table14[[#This Row],[Total Estimate - Current FY]]</f>
        <v>138478.12259840715</v>
      </c>
      <c r="Q35" s="436">
        <f>(LOOKUP(2026,Lists!$A$10:$A$15,Lists!$D$10:$D$15))*Table14[[#This Row],[Total Estimate - Current FY]]</f>
        <v>144017.24750234344</v>
      </c>
      <c r="R35" s="436">
        <f>(LOOKUP(2027,Lists!$A$10:$A$15,Lists!$D$10:$D$15))*Table14[[#This Row],[Total Estimate - Current FY]]</f>
        <v>149777.93740243718</v>
      </c>
      <c r="S35" s="431">
        <f>(LOOKUP(2028,Lists!$A$10:$A$15,Lists!$D$10:$D$15))*Table14[[#This Row],[Total Estimate - Current FY]]</f>
        <v>156068.61077333952</v>
      </c>
    </row>
    <row r="36" spans="2:19" x14ac:dyDescent="0.25">
      <c r="B36" s="415">
        <v>13</v>
      </c>
      <c r="C36" s="458" t="s">
        <v>370</v>
      </c>
      <c r="D36" s="263" t="str">
        <f t="shared" si="7"/>
        <v>13-Private</v>
      </c>
      <c r="E36" s="402" t="str">
        <f>_xlfn.XLOOKUP(D36,Table!D:D,Table!E:E)</f>
        <v>Local Canal - Direct Benefit</v>
      </c>
      <c r="F36" s="406">
        <f>_xlfn.XLOOKUP(D36,Table!D:D,Table!S:S)</f>
        <v>1233.3426156874252</v>
      </c>
      <c r="G36" s="334">
        <f>(AVERAGEIF(Table!F:F,E$27,Table!K:K))*F36</f>
        <v>755.74594320183405</v>
      </c>
      <c r="H36" s="334">
        <f>(SUMIF(Table!F:F,E$27,Table!L:L))/(COUNTIF(Table!F:F,E$27))</f>
        <v>37477.218453173322</v>
      </c>
      <c r="I36" s="334">
        <f>(AVERAGEIF(Table!F:F,E$27,Table!AA:AA))*F36</f>
        <v>53948.344797151396</v>
      </c>
      <c r="J36" s="334">
        <f>(AVERAGEIF(Table!F:F,E$27,Table!AI:AI))*F36</f>
        <v>3992.1775149892042</v>
      </c>
      <c r="K36" s="334">
        <f>_xlfn.XLOOKUP(D36,Table!D:D,Table!AD:AD)</f>
        <v>5101.6912206993347</v>
      </c>
      <c r="L36" s="334">
        <f t="shared" si="8"/>
        <v>10127.51779292151</v>
      </c>
      <c r="M36" s="334">
        <f t="shared" si="9"/>
        <v>5063.7588964607548</v>
      </c>
      <c r="N36" s="436">
        <f t="shared" si="10"/>
        <v>116466.45461859736</v>
      </c>
      <c r="O36" s="443">
        <f>(LOOKUP(2024,Lists!$A$10:$A$15,Lists!$D$10:$D$15))*Table14[[#This Row],[Total Estimate - Current FY]]</f>
        <v>121823.91153105284</v>
      </c>
      <c r="P36" s="436">
        <f>(LOOKUP(2025,Lists!$A$10:$A$15,Lists!$D$10:$D$15))*Table14[[#This Row],[Total Estimate - Current FY]]</f>
        <v>126940.51581535707</v>
      </c>
      <c r="Q36" s="436">
        <f>(LOOKUP(2026,Lists!$A$10:$A$15,Lists!$D$10:$D$15))*Table14[[#This Row],[Total Estimate - Current FY]]</f>
        <v>132018.13644797134</v>
      </c>
      <c r="R36" s="436">
        <f>(LOOKUP(2027,Lists!$A$10:$A$15,Lists!$D$10:$D$15))*Table14[[#This Row],[Total Estimate - Current FY]]</f>
        <v>137298.8619058902</v>
      </c>
      <c r="S36" s="431">
        <f>(LOOKUP(2028,Lists!$A$10:$A$15,Lists!$D$10:$D$15))*Table14[[#This Row],[Total Estimate - Current FY]]</f>
        <v>143065.41410593758</v>
      </c>
    </row>
    <row r="37" spans="2:19" x14ac:dyDescent="0.25">
      <c r="B37" s="415">
        <v>14</v>
      </c>
      <c r="C37" s="458" t="s">
        <v>370</v>
      </c>
      <c r="D37" s="263" t="str">
        <f t="shared" si="7"/>
        <v>14-Private</v>
      </c>
      <c r="E37" s="402" t="str">
        <f>_xlfn.XLOOKUP(D37,Table!D:D,Table!E:E)</f>
        <v>Local Canal - Direct Benefit</v>
      </c>
      <c r="F37" s="406">
        <f>_xlfn.XLOOKUP(D37,Table!D:D,Table!S:S)</f>
        <v>1499.2633203657349</v>
      </c>
      <c r="G37" s="334">
        <f>(AVERAGEIF(Table!F:F,E$27,Table!K:K))*F37</f>
        <v>918.69214421507979</v>
      </c>
      <c r="H37" s="334">
        <f>(SUMIF(Table!F:F,E$27,Table!L:L))/(COUNTIF(Table!F:F,E$27))</f>
        <v>37477.218453173322</v>
      </c>
      <c r="I37" s="334">
        <f>(AVERAGEIF(Table!F:F,E$27,Table!AA:AA))*F37</f>
        <v>65580.134441175775</v>
      </c>
      <c r="J37" s="334">
        <f>(AVERAGEIF(Table!F:F,E$27,Table!AI:AI))*F37</f>
        <v>4852.9299486470081</v>
      </c>
      <c r="K37" s="334">
        <f>_xlfn.XLOOKUP(D37,Table!D:D,Table!AD:AD)</f>
        <v>6285.8584223489834</v>
      </c>
      <c r="L37" s="334">
        <f t="shared" si="8"/>
        <v>11511.483340956018</v>
      </c>
      <c r="M37" s="334">
        <f t="shared" si="9"/>
        <v>5755.7416704780089</v>
      </c>
      <c r="N37" s="436">
        <f t="shared" si="10"/>
        <v>132382.0584209942</v>
      </c>
      <c r="O37" s="443">
        <f>(LOOKUP(2024,Lists!$A$10:$A$15,Lists!$D$10:$D$15))*Table14[[#This Row],[Total Estimate - Current FY]]</f>
        <v>138471.63310835994</v>
      </c>
      <c r="P37" s="436">
        <f>(LOOKUP(2025,Lists!$A$10:$A$15,Lists!$D$10:$D$15))*Table14[[#This Row],[Total Estimate - Current FY]]</f>
        <v>144287.44169891108</v>
      </c>
      <c r="Q37" s="436">
        <f>(LOOKUP(2026,Lists!$A$10:$A$15,Lists!$D$10:$D$15))*Table14[[#This Row],[Total Estimate - Current FY]]</f>
        <v>150058.9393668675</v>
      </c>
      <c r="R37" s="436">
        <f>(LOOKUP(2027,Lists!$A$10:$A$15,Lists!$D$10:$D$15))*Table14[[#This Row],[Total Estimate - Current FY]]</f>
        <v>156061.29694154221</v>
      </c>
      <c r="S37" s="431">
        <f>(LOOKUP(2028,Lists!$A$10:$A$15,Lists!$D$10:$D$15))*Table14[[#This Row],[Total Estimate - Current FY]]</f>
        <v>162615.87141308698</v>
      </c>
    </row>
    <row r="38" spans="2:19" x14ac:dyDescent="0.25">
      <c r="B38" s="415" t="s">
        <v>246</v>
      </c>
      <c r="C38" s="458" t="s">
        <v>370</v>
      </c>
      <c r="D38" s="263" t="str">
        <f t="shared" si="7"/>
        <v>14B-Private</v>
      </c>
      <c r="E38" s="402" t="str">
        <f>_xlfn.XLOOKUP(D38,Table!D:D,Table!E:E)</f>
        <v>Local Canal - Direct Benefit</v>
      </c>
      <c r="F38" s="406">
        <f>_xlfn.XLOOKUP(D38,Table!D:D,Table!S:S)</f>
        <v>1071.5827250152604</v>
      </c>
      <c r="G38" s="334">
        <f>(AVERAGEIF(Table!F:F,E$27,Table!K:K))*F38</f>
        <v>656.62556935492614</v>
      </c>
      <c r="H38" s="334">
        <f>(SUMIF(Table!F:F,E$27,Table!L:L))/(COUNTIF(Table!F:F,E$27))</f>
        <v>37477.218453173322</v>
      </c>
      <c r="I38" s="334">
        <f>(AVERAGEIF(Table!F:F,E$27,Table!AA:AA))*F38</f>
        <v>46872.712896223777</v>
      </c>
      <c r="J38" s="334">
        <f>(AVERAGEIF(Table!F:F,E$27,Table!AI:AI))*F38</f>
        <v>3468.5807543205601</v>
      </c>
      <c r="K38" s="334">
        <f>_xlfn.XLOOKUP(D38,Table!D:D,Table!AD:AD)</f>
        <v>4520.1463247435613</v>
      </c>
      <c r="L38" s="334">
        <f t="shared" si="8"/>
        <v>9299.528399781615</v>
      </c>
      <c r="M38" s="334">
        <f t="shared" si="9"/>
        <v>4649.7641998908075</v>
      </c>
      <c r="N38" s="436">
        <f t="shared" si="10"/>
        <v>106944.57659748857</v>
      </c>
      <c r="O38" s="443">
        <f>(LOOKUP(2024,Lists!$A$10:$A$15,Lists!$D$10:$D$15))*Table14[[#This Row],[Total Estimate - Current FY]]</f>
        <v>111864.02712097306</v>
      </c>
      <c r="P38" s="436">
        <f>(LOOKUP(2025,Lists!$A$10:$A$15,Lists!$D$10:$D$15))*Table14[[#This Row],[Total Estimate - Current FY]]</f>
        <v>116562.31626005392</v>
      </c>
      <c r="Q38" s="436">
        <f>(LOOKUP(2026,Lists!$A$10:$A$15,Lists!$D$10:$D$15))*Table14[[#This Row],[Total Estimate - Current FY]]</f>
        <v>121224.80891045608</v>
      </c>
      <c r="R38" s="436">
        <f>(LOOKUP(2027,Lists!$A$10:$A$15,Lists!$D$10:$D$15))*Table14[[#This Row],[Total Estimate - Current FY]]</f>
        <v>126073.80126687433</v>
      </c>
      <c r="S38" s="431">
        <f>(LOOKUP(2028,Lists!$A$10:$A$15,Lists!$D$10:$D$15))*Table14[[#This Row],[Total Estimate - Current FY]]</f>
        <v>131368.90092008305</v>
      </c>
    </row>
    <row r="39" spans="2:19" x14ac:dyDescent="0.25">
      <c r="B39" s="415" t="s">
        <v>354</v>
      </c>
      <c r="C39" s="458" t="s">
        <v>370</v>
      </c>
      <c r="D39" s="263" t="str">
        <f t="shared" si="7"/>
        <v>15N-Private</v>
      </c>
      <c r="E39" s="402" t="str">
        <f>_xlfn.XLOOKUP(D39,Table!D:D,Table!E:E)</f>
        <v>Local Canal - Direct Benefit</v>
      </c>
      <c r="F39" s="406">
        <f>_xlfn.XLOOKUP(D39,Table!D:D,Table!S:S)</f>
        <v>355.64719091761941</v>
      </c>
      <c r="G39" s="334">
        <f>(AVERAGEIF(Table!F:F,E$27,Table!K:K))*F39</f>
        <v>217.92721529962731</v>
      </c>
      <c r="H39" s="334">
        <f>(SUMIF(Table!F:F,E$27,Table!L:L))/(COUNTIF(Table!F:F,E$27))</f>
        <v>37477.218453173322</v>
      </c>
      <c r="I39" s="334">
        <f>(AVERAGEIF(Table!F:F,E$27,Table!AA:AA))*F39</f>
        <v>15556.567200159614</v>
      </c>
      <c r="J39" s="334">
        <f>(AVERAGEIF(Table!F:F,E$27,Table!AI:AI))*F39</f>
        <v>1151.1859728118116</v>
      </c>
      <c r="K39" s="334">
        <f>_xlfn.XLOOKUP(D39,Table!D:D,Table!AD:AD)</f>
        <v>1230.1542774418676</v>
      </c>
      <c r="L39" s="334">
        <f t="shared" si="8"/>
        <v>5563.3053118886246</v>
      </c>
      <c r="M39" s="334">
        <f t="shared" si="9"/>
        <v>2781.6526559443123</v>
      </c>
      <c r="N39" s="436">
        <f t="shared" si="10"/>
        <v>63978.011086719183</v>
      </c>
      <c r="O39" s="443">
        <f>(LOOKUP(2024,Lists!$A$10:$A$15,Lists!$D$10:$D$15))*Table14[[#This Row],[Total Estimate - Current FY]]</f>
        <v>66920.999596708265</v>
      </c>
      <c r="P39" s="436">
        <f>(LOOKUP(2025,Lists!$A$10:$A$15,Lists!$D$10:$D$15))*Table14[[#This Row],[Total Estimate - Current FY]]</f>
        <v>69731.681579770026</v>
      </c>
      <c r="Q39" s="436">
        <f>(LOOKUP(2026,Lists!$A$10:$A$15,Lists!$D$10:$D$15))*Table14[[#This Row],[Total Estimate - Current FY]]</f>
        <v>72520.948842960817</v>
      </c>
      <c r="R39" s="436">
        <f>(LOOKUP(2027,Lists!$A$10:$A$15,Lists!$D$10:$D$15))*Table14[[#This Row],[Total Estimate - Current FY]]</f>
        <v>75421.786796679255</v>
      </c>
      <c r="S39" s="431">
        <f>(LOOKUP(2028,Lists!$A$10:$A$15,Lists!$D$10:$D$15))*Table14[[#This Row],[Total Estimate - Current FY]]</f>
        <v>78589.501842139784</v>
      </c>
    </row>
    <row r="40" spans="2:19" x14ac:dyDescent="0.25">
      <c r="B40" s="415" t="s">
        <v>355</v>
      </c>
      <c r="C40" s="458" t="s">
        <v>370</v>
      </c>
      <c r="D40" s="263" t="str">
        <f t="shared" si="7"/>
        <v>15S-Private</v>
      </c>
      <c r="E40" s="402" t="str">
        <f>_xlfn.XLOOKUP(D40,Table!D:D,Table!E:E)</f>
        <v>Local Canal - Direct Benefit</v>
      </c>
      <c r="F40" s="406">
        <f>_xlfn.XLOOKUP(D40,Table!D:D,Table!S:S)</f>
        <v>976.64485605570565</v>
      </c>
      <c r="G40" s="334">
        <f>(AVERAGEIF(Table!F:F,E$27,Table!K:K))*F40</f>
        <v>598.45121584617277</v>
      </c>
      <c r="H40" s="334">
        <f>(SUMIF(Table!F:F,E$27,Table!L:L))/(COUNTIF(Table!F:F,E$27))</f>
        <v>37477.218453173322</v>
      </c>
      <c r="I40" s="334">
        <f>(AVERAGEIF(Table!F:F,E$27,Table!AA:AA))*F40</f>
        <v>42719.981267728035</v>
      </c>
      <c r="J40" s="334">
        <f>(AVERAGEIF(Table!F:F,E$27,Table!AI:AI))*F40</f>
        <v>3161.2786138118754</v>
      </c>
      <c r="K40" s="334">
        <f>_xlfn.XLOOKUP(D40,Table!D:D,Table!AD:AD)</f>
        <v>3378.1339425701135</v>
      </c>
      <c r="L40" s="334">
        <f t="shared" si="8"/>
        <v>8733.5063493129528</v>
      </c>
      <c r="M40" s="334">
        <f t="shared" si="9"/>
        <v>4366.7531746564764</v>
      </c>
      <c r="N40" s="436">
        <f t="shared" si="10"/>
        <v>100435.32301709896</v>
      </c>
      <c r="O40" s="443">
        <f>(LOOKUP(2024,Lists!$A$10:$A$15,Lists!$D$10:$D$15))*Table14[[#This Row],[Total Estimate - Current FY]]</f>
        <v>105055.34787588551</v>
      </c>
      <c r="P40" s="436">
        <f>(LOOKUP(2025,Lists!$A$10:$A$15,Lists!$D$10:$D$15))*Table14[[#This Row],[Total Estimate - Current FY]]</f>
        <v>109467.67248667272</v>
      </c>
      <c r="Q40" s="436">
        <f>(LOOKUP(2026,Lists!$A$10:$A$15,Lists!$D$10:$D$15))*Table14[[#This Row],[Total Estimate - Current FY]]</f>
        <v>113846.37938613961</v>
      </c>
      <c r="R40" s="436">
        <f>(LOOKUP(2027,Lists!$A$10:$A$15,Lists!$D$10:$D$15))*Table14[[#This Row],[Total Estimate - Current FY]]</f>
        <v>118400.2345615852</v>
      </c>
      <c r="S40" s="431">
        <f>(LOOKUP(2028,Lists!$A$10:$A$15,Lists!$D$10:$D$15))*Table14[[#This Row],[Total Estimate - Current FY]]</f>
        <v>123373.04441317178</v>
      </c>
    </row>
    <row r="41" spans="2:19" x14ac:dyDescent="0.25">
      <c r="B41" s="415" t="s">
        <v>356</v>
      </c>
      <c r="C41" s="458" t="s">
        <v>370</v>
      </c>
      <c r="D41" s="263" t="str">
        <f>B41&amp;"-"&amp;C41</f>
        <v>15W-Private</v>
      </c>
      <c r="E41" s="402" t="str">
        <f>_xlfn.XLOOKUP(D41,Table!D:D,Table!E:E)</f>
        <v>Local Canal - Direct Benefit</v>
      </c>
      <c r="F41" s="406">
        <f>_xlfn.XLOOKUP(D41,Table!D:D,Table!S:S)</f>
        <v>916.63274883830729</v>
      </c>
      <c r="G41" s="334">
        <f>(AVERAGEIF(Table!F:F,E$27,Table!K:K))*F41</f>
        <v>561.67805484803159</v>
      </c>
      <c r="H41" s="334">
        <f>(SUMIF(Table!F:F,E$27,Table!L:L))/(COUNTIF(Table!F:F,E$27))</f>
        <v>37477.218453173322</v>
      </c>
      <c r="I41" s="334">
        <f>(AVERAGEIF(Table!F:F,E$27,Table!AA:AA))*F41</f>
        <v>40094.957360349857</v>
      </c>
      <c r="J41" s="334">
        <f>(AVERAGEIF(Table!F:F,E$27,Table!AI:AI))*F41</f>
        <v>2967.0268446658902</v>
      </c>
      <c r="K41" s="334">
        <f>_xlfn.XLOOKUP(D41,Table!D:D,Table!AD:AD)</f>
        <v>7526.551404659901</v>
      </c>
      <c r="L41" s="334">
        <f>SUM(G41:K41)*0.1</f>
        <v>8862.7432117697008</v>
      </c>
      <c r="M41" s="334">
        <f>SUM(G41:K41)*0.05</f>
        <v>4431.3716058848504</v>
      </c>
      <c r="N41" s="436">
        <f>SUM(G41:M41)</f>
        <v>101921.54693535155</v>
      </c>
      <c r="O41" s="443">
        <f>(LOOKUP(2024,Lists!$A$10:$A$15,Lists!$D$10:$D$15))*Table14[[#This Row],[Total Estimate - Current FY]]</f>
        <v>106609.93809437772</v>
      </c>
      <c r="P41" s="436">
        <f>(LOOKUP(2025,Lists!$A$10:$A$15,Lists!$D$10:$D$15))*Table14[[#This Row],[Total Estimate - Current FY]]</f>
        <v>111087.55549434161</v>
      </c>
      <c r="Q41" s="436">
        <f>(LOOKUP(2026,Lists!$A$10:$A$15,Lists!$D$10:$D$15))*Table14[[#This Row],[Total Estimate - Current FY]]</f>
        <v>115531.05771411526</v>
      </c>
      <c r="R41" s="436">
        <f>(LOOKUP(2027,Lists!$A$10:$A$15,Lists!$D$10:$D$15))*Table14[[#This Row],[Total Estimate - Current FY]]</f>
        <v>120152.30002267988</v>
      </c>
      <c r="S41" s="431">
        <f>(LOOKUP(2028,Lists!$A$10:$A$15,Lists!$D$10:$D$15))*Table14[[#This Row],[Total Estimate - Current FY]]</f>
        <v>125198.69662363242</v>
      </c>
    </row>
    <row r="42" spans="2:19" x14ac:dyDescent="0.25">
      <c r="B42" s="415">
        <v>16</v>
      </c>
      <c r="C42" s="458" t="s">
        <v>370</v>
      </c>
      <c r="D42" s="263" t="str">
        <f t="shared" si="7"/>
        <v>16-Private</v>
      </c>
      <c r="E42" s="402" t="str">
        <f>_xlfn.XLOOKUP(D42,Table!D:D,Table!E:E)</f>
        <v>Local Canal - Direct Benefit</v>
      </c>
      <c r="F42" s="406">
        <f>_xlfn.XLOOKUP(D42,Table!D:D,Table!S:S)</f>
        <v>630.12498450470355</v>
      </c>
      <c r="G42" s="334">
        <f>(AVERAGEIF(Table!F:F,E$27,Table!K:K))*F42</f>
        <v>386.1168783859153</v>
      </c>
      <c r="H42" s="334">
        <f>(SUMIF(Table!F:F,E$27,Table!L:L))/(COUNTIF(Table!F:F,E$27))</f>
        <v>37477.218453173322</v>
      </c>
      <c r="I42" s="334">
        <f>(AVERAGEIF(Table!F:F,E$27,Table!AA:AA))*F42</f>
        <v>27562.657364605991</v>
      </c>
      <c r="J42" s="334">
        <f>(AVERAGEIF(Table!F:F,E$27,Table!AI:AI))*F42</f>
        <v>2039.6366449808438</v>
      </c>
      <c r="K42" s="334">
        <f>_xlfn.XLOOKUP(D42,Table!D:D,Table!AD:AD)</f>
        <v>3314.9017133558118</v>
      </c>
      <c r="L42" s="334">
        <f t="shared" si="8"/>
        <v>7078.0531054501889</v>
      </c>
      <c r="M42" s="334">
        <f t="shared" si="9"/>
        <v>3539.0265527250945</v>
      </c>
      <c r="N42" s="436">
        <f t="shared" si="10"/>
        <v>81397.610712677168</v>
      </c>
      <c r="O42" s="443">
        <f>(LOOKUP(2024,Lists!$A$10:$A$15,Lists!$D$10:$D$15))*Table14[[#This Row],[Total Estimate - Current FY]]</f>
        <v>85141.900805460318</v>
      </c>
      <c r="P42" s="436">
        <f>(LOOKUP(2025,Lists!$A$10:$A$15,Lists!$D$10:$D$15))*Table14[[#This Row],[Total Estimate - Current FY]]</f>
        <v>88717.860639289662</v>
      </c>
      <c r="Q42" s="436">
        <f>(LOOKUP(2026,Lists!$A$10:$A$15,Lists!$D$10:$D$15))*Table14[[#This Row],[Total Estimate - Current FY]]</f>
        <v>92266.575064861245</v>
      </c>
      <c r="R42" s="436">
        <f>(LOOKUP(2027,Lists!$A$10:$A$15,Lists!$D$10:$D$15))*Table14[[#This Row],[Total Estimate - Current FY]]</f>
        <v>95957.238067455692</v>
      </c>
      <c r="S42" s="431">
        <f>(LOOKUP(2028,Lists!$A$10:$A$15,Lists!$D$10:$D$15))*Table14[[#This Row],[Total Estimate - Current FY]]</f>
        <v>99987.44206628883</v>
      </c>
    </row>
    <row r="43" spans="2:19" x14ac:dyDescent="0.25">
      <c r="B43" s="415" t="s">
        <v>191</v>
      </c>
      <c r="C43" s="458" t="s">
        <v>370</v>
      </c>
      <c r="D43" s="263" t="str">
        <f t="shared" si="7"/>
        <v>16A-Private</v>
      </c>
      <c r="E43" s="402" t="str">
        <f>_xlfn.XLOOKUP(D43,Table!D:D,Table!E:E)</f>
        <v>Local Canal - Direct Benefit</v>
      </c>
      <c r="F43" s="406">
        <f>_xlfn.XLOOKUP(D43,Table!D:D,Table!S:S)</f>
        <v>711.68787102781039</v>
      </c>
      <c r="G43" s="334">
        <f>(AVERAGEIF(Table!F:F,E$27,Table!K:K))*F43</f>
        <v>436.09554596914234</v>
      </c>
      <c r="H43" s="334">
        <f>(SUMIF(Table!F:F,E$27,Table!L:L))/(COUNTIF(Table!F:F,E$27))</f>
        <v>37477.218453173322</v>
      </c>
      <c r="I43" s="334">
        <f>(AVERAGEIF(Table!F:F,E$27,Table!AA:AA))*F43</f>
        <v>31130.346236158512</v>
      </c>
      <c r="J43" s="334">
        <f>(AVERAGEIF(Table!F:F,E$27,Table!AI:AI))*F43</f>
        <v>2303.64562147573</v>
      </c>
      <c r="K43" s="334">
        <f>_xlfn.XLOOKUP(D43,Table!D:D,Table!AD:AD)</f>
        <v>6038.3585352728023</v>
      </c>
      <c r="L43" s="334">
        <f t="shared" si="8"/>
        <v>7738.5664392049512</v>
      </c>
      <c r="M43" s="334">
        <f t="shared" si="9"/>
        <v>3869.2832196024756</v>
      </c>
      <c r="N43" s="436">
        <f t="shared" si="10"/>
        <v>88993.514050856931</v>
      </c>
      <c r="O43" s="443">
        <f>(LOOKUP(2024,Lists!$A$10:$A$15,Lists!$D$10:$D$15))*Table14[[#This Row],[Total Estimate - Current FY]]</f>
        <v>93087.215697196356</v>
      </c>
      <c r="P43" s="436">
        <f>(LOOKUP(2025,Lists!$A$10:$A$15,Lists!$D$10:$D$15))*Table14[[#This Row],[Total Estimate - Current FY]]</f>
        <v>96996.878756478603</v>
      </c>
      <c r="Q43" s="436">
        <f>(LOOKUP(2026,Lists!$A$10:$A$15,Lists!$D$10:$D$15))*Table14[[#This Row],[Total Estimate - Current FY]]</f>
        <v>100876.75390673775</v>
      </c>
      <c r="R43" s="436">
        <f>(LOOKUP(2027,Lists!$A$10:$A$15,Lists!$D$10:$D$15))*Table14[[#This Row],[Total Estimate - Current FY]]</f>
        <v>104911.82406300725</v>
      </c>
      <c r="S43" s="431">
        <f>(LOOKUP(2028,Lists!$A$10:$A$15,Lists!$D$10:$D$15))*Table14[[#This Row],[Total Estimate - Current FY]]</f>
        <v>109318.12067365357</v>
      </c>
    </row>
    <row r="44" spans="2:19" x14ac:dyDescent="0.25">
      <c r="B44" s="415">
        <v>17</v>
      </c>
      <c r="C44" s="458" t="s">
        <v>370</v>
      </c>
      <c r="D44" s="263" t="str">
        <f>B44&amp;"-"&amp;C44</f>
        <v>17-Private</v>
      </c>
      <c r="E44" s="402" t="str">
        <f>_xlfn.XLOOKUP(D44,Table!D:D,Table!E:E)</f>
        <v>Local Canal - Direct Benefit</v>
      </c>
      <c r="F44" s="406">
        <f>_xlfn.XLOOKUP(D44,Table!D:D,Table!S:S)</f>
        <v>913.00921860790629</v>
      </c>
      <c r="G44" s="334">
        <f>(AVERAGEIF(Table!F:F,E$27,Table!K:K))*F44</f>
        <v>559.45769187924827</v>
      </c>
      <c r="H44" s="334">
        <f>(SUMIF(Table!F:F,E$27,Table!L:L))/(COUNTIF(Table!F:F,E$27))</f>
        <v>37477.218453173322</v>
      </c>
      <c r="I44" s="334">
        <f>(AVERAGEIF(Table!F:F,E$27,Table!AA:AA))*F44</f>
        <v>39936.458451963714</v>
      </c>
      <c r="J44" s="334">
        <f>(AVERAGEIF(Table!F:F,E$27,Table!AI:AI))*F44</f>
        <v>2955.2979254453153</v>
      </c>
      <c r="K44" s="334">
        <f>_xlfn.XLOOKUP(D44,Table!D:D,Table!AD:AD)</f>
        <v>5281.8072675521944</v>
      </c>
      <c r="L44" s="334">
        <f>SUM(G44:K44)*0.1</f>
        <v>8621.0239790013802</v>
      </c>
      <c r="M44" s="334">
        <f>SUM(G44:K44)*0.05</f>
        <v>4310.5119895006901</v>
      </c>
      <c r="N44" s="436">
        <f>SUM(G44:M44)</f>
        <v>99141.775758515869</v>
      </c>
      <c r="O44" s="443">
        <f>(LOOKUP(2024,Lists!$A$10:$A$15,Lists!$D$10:$D$15))*Table14[[#This Row],[Total Estimate - Current FY]]</f>
        <v>103702.2974434076</v>
      </c>
      <c r="P44" s="436">
        <f>(LOOKUP(2025,Lists!$A$10:$A$15,Lists!$D$10:$D$15))*Table14[[#This Row],[Total Estimate - Current FY]]</f>
        <v>108057.79393603074</v>
      </c>
      <c r="Q44" s="436">
        <f>(LOOKUP(2026,Lists!$A$10:$A$15,Lists!$D$10:$D$15))*Table14[[#This Row],[Total Estimate - Current FY]]</f>
        <v>112380.10569347195</v>
      </c>
      <c r="R44" s="436">
        <f>(LOOKUP(2027,Lists!$A$10:$A$15,Lists!$D$10:$D$15))*Table14[[#This Row],[Total Estimate - Current FY]]</f>
        <v>116875.30992121084</v>
      </c>
      <c r="S44" s="431">
        <f>(LOOKUP(2028,Lists!$A$10:$A$15,Lists!$D$10:$D$15))*Table14[[#This Row],[Total Estimate - Current FY]]</f>
        <v>121784.07293790168</v>
      </c>
    </row>
    <row r="45" spans="2:19" x14ac:dyDescent="0.25">
      <c r="B45" s="415">
        <v>18</v>
      </c>
      <c r="C45" s="458" t="s">
        <v>370</v>
      </c>
      <c r="D45" s="263" t="str">
        <f>B45&amp;"-"&amp;C45</f>
        <v>18-Private</v>
      </c>
      <c r="E45" s="402" t="str">
        <f>_xlfn.XLOOKUP(D45,Table!D:D,Table!E:E)</f>
        <v>Local Canal - Direct Benefit</v>
      </c>
      <c r="F45" s="406">
        <f>_xlfn.XLOOKUP(D45,Table!D:D,Table!S:S)</f>
        <v>554.24779607572054</v>
      </c>
      <c r="G45" s="334">
        <f>(AVERAGEIF(Table!F:F,E$27,Table!K:K))*F45</f>
        <v>339.62219263729759</v>
      </c>
      <c r="H45" s="334">
        <f>(SUMIF(Table!F:F,E$27,Table!L:L))/(COUNTIF(Table!F:F,E$27))</f>
        <v>37477.218453173322</v>
      </c>
      <c r="I45" s="334">
        <f>(AVERAGEIF(Table!F:F,E$27,Table!AA:AA))*F45</f>
        <v>24243.66986548058</v>
      </c>
      <c r="J45" s="334">
        <f>(AVERAGEIF(Table!F:F,E$27,Table!AI:AI))*F45</f>
        <v>1794.0315700455633</v>
      </c>
      <c r="K45" s="334">
        <f>_xlfn.XLOOKUP(D45,Table!D:D,Table!AD:AD)</f>
        <v>5503.1200698022494</v>
      </c>
      <c r="L45" s="334">
        <f>SUM(G45:K45)*0.1</f>
        <v>6935.7662151139011</v>
      </c>
      <c r="M45" s="334">
        <f>SUM(G45:K45)*0.05</f>
        <v>3467.8831075569506</v>
      </c>
      <c r="N45" s="436">
        <f>SUM(G45:M45)</f>
        <v>79761.311473809867</v>
      </c>
      <c r="O45" s="443">
        <f>(LOOKUP(2024,Lists!$A$10:$A$15,Lists!$D$10:$D$15))*Table14[[#This Row],[Total Estimate - Current FY]]</f>
        <v>83430.33180160512</v>
      </c>
      <c r="P45" s="436">
        <f>(LOOKUP(2025,Lists!$A$10:$A$15,Lists!$D$10:$D$15))*Table14[[#This Row],[Total Estimate - Current FY]]</f>
        <v>86934.405737272551</v>
      </c>
      <c r="Q45" s="436">
        <f>(LOOKUP(2026,Lists!$A$10:$A$15,Lists!$D$10:$D$15))*Table14[[#This Row],[Total Estimate - Current FY]]</f>
        <v>90411.781966763447</v>
      </c>
      <c r="R45" s="436">
        <f>(LOOKUP(2027,Lists!$A$10:$A$15,Lists!$D$10:$D$15))*Table14[[#This Row],[Total Estimate - Current FY]]</f>
        <v>94028.253245433982</v>
      </c>
      <c r="S45" s="431">
        <f>(LOOKUP(2028,Lists!$A$10:$A$15,Lists!$D$10:$D$15))*Table14[[#This Row],[Total Estimate - Current FY]]</f>
        <v>97977.439881742204</v>
      </c>
    </row>
    <row r="46" spans="2:19" x14ac:dyDescent="0.25">
      <c r="B46" s="415">
        <v>19</v>
      </c>
      <c r="C46" s="458" t="s">
        <v>370</v>
      </c>
      <c r="D46" s="263" t="str">
        <f t="shared" si="7"/>
        <v>19-Private</v>
      </c>
      <c r="E46" s="402" t="str">
        <f>_xlfn.XLOOKUP(D46,Table!D:D,Table!E:E)</f>
        <v>Local Canal - Direct Benefit</v>
      </c>
      <c r="F46" s="406">
        <f>_xlfn.XLOOKUP(D46,Table!D:D,Table!S:S)</f>
        <v>696.45597593999219</v>
      </c>
      <c r="G46" s="334">
        <f>(AVERAGEIF(Table!F:F,E$27,Table!K:K))*F46</f>
        <v>426.76201384799816</v>
      </c>
      <c r="H46" s="334">
        <f>(SUMIF(Table!F:F,E$27,Table!L:L))/(COUNTIF(Table!F:F,E$27))</f>
        <v>37477.218453173322</v>
      </c>
      <c r="I46" s="334">
        <f>(AVERAGEIF(Table!F:F,E$27,Table!AA:AA))*F46</f>
        <v>30464.079200819233</v>
      </c>
      <c r="J46" s="334">
        <f>(AVERAGEIF(Table!F:F,E$27,Table!AI:AI))*F46</f>
        <v>2254.3418608606235</v>
      </c>
      <c r="K46" s="334">
        <f>_xlfn.XLOOKUP(D46,Table!D:D,Table!AD:AD)</f>
        <v>4360.149623549798</v>
      </c>
      <c r="L46" s="334">
        <f t="shared" si="8"/>
        <v>7498.2551152250999</v>
      </c>
      <c r="M46" s="334">
        <f t="shared" si="9"/>
        <v>3749.1275576125499</v>
      </c>
      <c r="N46" s="436">
        <f t="shared" si="10"/>
        <v>86229.933825088636</v>
      </c>
      <c r="O46" s="443">
        <f>(LOOKUP(2024,Lists!$A$10:$A$15,Lists!$D$10:$D$15))*Table14[[#This Row],[Total Estimate - Current FY]]</f>
        <v>90196.510781042714</v>
      </c>
      <c r="P46" s="436">
        <f>(LOOKUP(2025,Lists!$A$10:$A$15,Lists!$D$10:$D$15))*Table14[[#This Row],[Total Estimate - Current FY]]</f>
        <v>93984.764233846523</v>
      </c>
      <c r="Q46" s="436">
        <f>(LOOKUP(2026,Lists!$A$10:$A$15,Lists!$D$10:$D$15))*Table14[[#This Row],[Total Estimate - Current FY]]</f>
        <v>97744.154803200378</v>
      </c>
      <c r="R46" s="436">
        <f>(LOOKUP(2027,Lists!$A$10:$A$15,Lists!$D$10:$D$15))*Table14[[#This Row],[Total Estimate - Current FY]]</f>
        <v>101653.92099532839</v>
      </c>
      <c r="S46" s="431">
        <f>(LOOKUP(2028,Lists!$A$10:$A$15,Lists!$D$10:$D$15))*Table14[[#This Row],[Total Estimate - Current FY]]</f>
        <v>105923.38567713219</v>
      </c>
    </row>
    <row r="47" spans="2:19" x14ac:dyDescent="0.25">
      <c r="B47" s="415"/>
      <c r="F47" s="407"/>
      <c r="G47" s="407"/>
      <c r="H47" s="407"/>
      <c r="I47" s="407"/>
      <c r="J47" s="407"/>
      <c r="K47" s="407"/>
      <c r="L47" s="407"/>
      <c r="M47" s="407"/>
      <c r="N47" s="407"/>
      <c r="O47" s="415"/>
      <c r="S47" s="434"/>
    </row>
    <row r="48" spans="2:19" x14ac:dyDescent="0.25">
      <c r="B48" s="481">
        <f>E27</f>
        <v>2</v>
      </c>
      <c r="C48" s="482"/>
      <c r="D48" s="483"/>
      <c r="E48" s="405" t="s">
        <v>651</v>
      </c>
      <c r="F48" s="425">
        <f>SUMIF(Table14[Classification],$E$48,Table14[Estimated Dredge Quantities])</f>
        <v>432.77250018032225</v>
      </c>
      <c r="G48" s="420">
        <f>SUMIF(Table14[Classification],$E$48,Table14[Insurance/Bonding])</f>
        <v>265.18670252734069</v>
      </c>
      <c r="H48" s="420">
        <f>SUMIF(Table14[Classification],$E$48,Table14[Mob/Demob (LS)])</f>
        <v>37477.218453173322</v>
      </c>
      <c r="I48" s="420">
        <f>SUMIF(Table14[Classification],$E$48,Table14[Dredging &amp; Placement])</f>
        <v>18930.149466569943</v>
      </c>
      <c r="J48" s="420">
        <f>SUMIF(Table14[Classification],$E$48,Table14[Environmental Protection])</f>
        <v>1400.8310605261761</v>
      </c>
      <c r="K48" s="420">
        <f>SUMIF(Table14[Classification],$E$48,Table14[Seagrass Transplanting &amp; Monitoring])</f>
        <v>1597.5718517401203</v>
      </c>
      <c r="L48" s="420">
        <f>SUMIF(Table14[Classification],$E$48,Table14[Engineering Fees - Plans, Design &amp; Specs])</f>
        <v>5967.0957534536901</v>
      </c>
      <c r="M48" s="420">
        <f>SUMIF(Table14[Classification],$E$48,Table14[Construction Administration])</f>
        <v>2983.5478767268451</v>
      </c>
      <c r="N48" s="437">
        <f>SUMIF(Table14[Classification],$E$48,Table14[Total Estimate - Current FY])</f>
        <v>68621.601164717445</v>
      </c>
      <c r="O48" s="447">
        <f>(LOOKUP(2024,Lists!$A$10:$A$15,Lists!$D$10:$D$15))*N48</f>
        <v>71778.194818294447</v>
      </c>
      <c r="P48" s="448">
        <f>(LOOKUP(2025,Lists!$A$10:$A$15,Lists!$D$10:$D$15))*N48</f>
        <v>74792.879000662826</v>
      </c>
      <c r="Q48" s="448">
        <f>(LOOKUP(2026,Lists!$A$10:$A$15,Lists!$D$10:$D$15))*N48</f>
        <v>77784.594160689332</v>
      </c>
      <c r="R48" s="448">
        <f>(LOOKUP(2027,Lists!$A$10:$A$15,Lists!$D$10:$D$15))*N48</f>
        <v>80895.97792711691</v>
      </c>
      <c r="S48" s="449">
        <f>(LOOKUP(2028,Lists!$A$10:$A$15,Lists!$D$10:$D$15))*N48</f>
        <v>84293.609000055818</v>
      </c>
    </row>
    <row r="49" spans="2:19" hidden="1" x14ac:dyDescent="0.25">
      <c r="B49" s="484"/>
      <c r="C49" s="485"/>
      <c r="D49" s="486"/>
      <c r="E49" s="402" t="s">
        <v>689</v>
      </c>
      <c r="F49" s="426">
        <f>SUMIF(Table14[Classification],$E$49,Table14[Estimated Dredge Quantities])</f>
        <v>0</v>
      </c>
      <c r="G49" s="422">
        <f>SUMIF(Table14[Classification],$E$49,Table14[Insurance/Bonding])</f>
        <v>0</v>
      </c>
      <c r="H49" s="422">
        <f>SUMIF(Table14[Classification],$E$49,Table14[Mob/Demob (LS)])</f>
        <v>0</v>
      </c>
      <c r="I49" s="422">
        <f>SUMIF(Table14[Classification],$E$49,Table14[Dredging &amp; Placement])</f>
        <v>0</v>
      </c>
      <c r="J49" s="422">
        <f>SUMIF(Table14[Classification],$E$49,Table14[Environmental Protection])</f>
        <v>0</v>
      </c>
      <c r="K49" s="422">
        <f>SUMIF(Table14[Classification],$E$49,Table14[Seagrass Transplanting &amp; Monitoring])</f>
        <v>0</v>
      </c>
      <c r="L49" s="422">
        <f>SUMIF(Table14[Classification],$E$49,Table14[Engineering Fees - Plans, Design &amp; Specs])</f>
        <v>0</v>
      </c>
      <c r="M49" s="422">
        <f>SUMIF(Table14[Classification],$E$49,Table14[Construction Administration])</f>
        <v>0</v>
      </c>
      <c r="N49" s="438">
        <f>SUMIF(Table14[Classification],$E$49,Table14[Total Estimate - Current FY])</f>
        <v>0</v>
      </c>
      <c r="O49" s="450">
        <f>(LOOKUP(2024,Lists!$A$10:$A$15,Lists!$D$10:$D$15))*N49</f>
        <v>0</v>
      </c>
      <c r="P49" s="451">
        <f>(LOOKUP(2025,Lists!$A$10:$A$15,Lists!$D$10:$D$15))*N49</f>
        <v>0</v>
      </c>
      <c r="Q49" s="451">
        <f>(LOOKUP(2026,Lists!$A$10:$A$15,Lists!$D$10:$D$15))*N49</f>
        <v>0</v>
      </c>
      <c r="R49" s="451">
        <f>(LOOKUP(2027,Lists!$A$10:$A$15,Lists!$D$10:$D$15))*N49</f>
        <v>0</v>
      </c>
      <c r="S49" s="452">
        <f>(LOOKUP(2028,Lists!$A$10:$A$15,Lists!$D$10:$D$15))*N49</f>
        <v>0</v>
      </c>
    </row>
    <row r="50" spans="2:19" ht="15.75" thickBot="1" x14ac:dyDescent="0.3">
      <c r="B50" s="487"/>
      <c r="C50" s="488"/>
      <c r="D50" s="489"/>
      <c r="E50" s="418" t="s">
        <v>650</v>
      </c>
      <c r="F50" s="435">
        <f>SUMIF(Table14[Classification],$E$50,Table14[Estimated Dredge Quantities])</f>
        <v>15802.870619763038</v>
      </c>
      <c r="G50" s="424">
        <f>SUMIF(Table14[Classification],$E$50,Table14[Insurance/Bonding])</f>
        <v>9683.4044408436785</v>
      </c>
      <c r="H50" s="424">
        <f>SUMIF(Table14[Classification],$E$50,Table14[Mob/Demob (LS)])</f>
        <v>637112.71370394621</v>
      </c>
      <c r="I50" s="424">
        <f>SUMIF(Table14[Classification],$E$50,Table14[Dredging &amp; Placement])</f>
        <v>691242.40266730147</v>
      </c>
      <c r="J50" s="424">
        <f>SUMIF(Table14[Classification],$E$50,Table14[Environmental Protection])</f>
        <v>51151.937797380306</v>
      </c>
      <c r="K50" s="424">
        <f>SUMIF(Table14[Classification],$E$50,Table14[Seagrass Transplanting &amp; Monitoring])</f>
        <v>94136.50221075202</v>
      </c>
      <c r="L50" s="424">
        <f>SUMIF(Table14[Classification],$E$50,Table14[Engineering Fees - Plans, Design &amp; Specs])</f>
        <v>148332.69608202242</v>
      </c>
      <c r="M50" s="424">
        <f>SUMIF(Table14[Classification],$E$50,Table14[Construction Administration])</f>
        <v>74166.34804101121</v>
      </c>
      <c r="N50" s="439">
        <f>SUMIF(Table14[Classification],$E$50,Table14[Total Estimate - Current FY])</f>
        <v>1705826.0049432577</v>
      </c>
      <c r="O50" s="453">
        <f>(LOOKUP(2024,Lists!$A$10:$A$15,Lists!$D$10:$D$15))*N50</f>
        <v>1784294.0011706476</v>
      </c>
      <c r="P50" s="454">
        <f>(LOOKUP(2025,Lists!$A$10:$A$15,Lists!$D$10:$D$15))*N50</f>
        <v>1859234.3492198149</v>
      </c>
      <c r="Q50" s="454">
        <f>(LOOKUP(2026,Lists!$A$10:$A$15,Lists!$D$10:$D$15))*N50</f>
        <v>1933603.7231886075</v>
      </c>
      <c r="R50" s="454">
        <f>(LOOKUP(2027,Lists!$A$10:$A$15,Lists!$D$10:$D$15))*N50</f>
        <v>2010947.8721161517</v>
      </c>
      <c r="S50" s="455">
        <f>(LOOKUP(2028,Lists!$A$10:$A$15,Lists!$D$10:$D$15))*N50</f>
        <v>2095407.6827450301</v>
      </c>
    </row>
    <row r="51" spans="2:19" ht="15.75" thickBot="1" x14ac:dyDescent="0.3"/>
    <row r="52" spans="2:19" x14ac:dyDescent="0.25">
      <c r="B52" s="410" t="s">
        <v>652</v>
      </c>
      <c r="C52" s="411"/>
      <c r="D52" s="411"/>
      <c r="E52" s="467">
        <v>3</v>
      </c>
      <c r="F52" s="412"/>
      <c r="G52" s="412"/>
      <c r="H52" s="412"/>
      <c r="I52" s="412"/>
      <c r="J52" s="412"/>
      <c r="K52" s="412"/>
      <c r="L52" s="412"/>
      <c r="M52" s="413"/>
      <c r="N52" s="412"/>
      <c r="O52" s="490" t="s">
        <v>681</v>
      </c>
      <c r="P52" s="491"/>
      <c r="Q52" s="491"/>
      <c r="R52" s="491"/>
      <c r="S52" s="492"/>
    </row>
    <row r="53" spans="2:19" ht="30" x14ac:dyDescent="0.25">
      <c r="B53" s="415" t="s">
        <v>653</v>
      </c>
      <c r="C53" s="263" t="s">
        <v>674</v>
      </c>
      <c r="D53" s="263" t="s">
        <v>675</v>
      </c>
      <c r="E53" s="402" t="s">
        <v>649</v>
      </c>
      <c r="F53" s="401" t="s">
        <v>632</v>
      </c>
      <c r="G53" s="401" t="s">
        <v>594</v>
      </c>
      <c r="H53" s="401" t="s">
        <v>596</v>
      </c>
      <c r="I53" s="401" t="s">
        <v>669</v>
      </c>
      <c r="J53" s="401" t="s">
        <v>415</v>
      </c>
      <c r="K53" s="401" t="s">
        <v>668</v>
      </c>
      <c r="L53" s="401" t="s">
        <v>617</v>
      </c>
      <c r="M53" s="401" t="s">
        <v>618</v>
      </c>
      <c r="N53" s="401" t="s">
        <v>680</v>
      </c>
      <c r="O53" s="446" t="s">
        <v>682</v>
      </c>
      <c r="P53" s="444" t="s">
        <v>683</v>
      </c>
      <c r="Q53" s="444" t="s">
        <v>684</v>
      </c>
      <c r="R53" s="444" t="s">
        <v>685</v>
      </c>
      <c r="S53" s="445" t="s">
        <v>686</v>
      </c>
    </row>
    <row r="54" spans="2:19" x14ac:dyDescent="0.25">
      <c r="B54" s="415">
        <v>20</v>
      </c>
      <c r="C54" s="458" t="s">
        <v>370</v>
      </c>
      <c r="D54" s="263" t="str">
        <f>B54&amp;"-"&amp;C54</f>
        <v>20-Private</v>
      </c>
      <c r="E54" s="402" t="str">
        <f>_xlfn.XLOOKUP(D54,Table!D:D,Table!E:E)</f>
        <v>Local Canal - Direct Benefit</v>
      </c>
      <c r="F54" s="406">
        <f>_xlfn.XLOOKUP(D54,Table!D:D,Table!S:S)</f>
        <v>89.693309982992716</v>
      </c>
      <c r="G54" s="334">
        <f>(AVERAGEIF(Table!F:F,E$52,Table!K:K))*F54</f>
        <v>66.586761562022659</v>
      </c>
      <c r="H54" s="334">
        <f>(SUMIF(Table!F:F,E$52,Table!L:L))/(COUNTIF(Table!F:F,E$52))</f>
        <v>56215.827679759997</v>
      </c>
      <c r="I54" s="334">
        <f>(AVERAGEIF(Table!F:F,E$52,Table!AA:AA))*F54</f>
        <v>4753.2449283877131</v>
      </c>
      <c r="J54" s="334">
        <f>(AVERAGEIF(Table!F:F,E$52,Table!AI:AI))*F54</f>
        <v>351.74012470069079</v>
      </c>
      <c r="K54" s="334">
        <f>_xlfn.XLOOKUP(D54,Table!D:D,Table!AD:AD)</f>
        <v>0</v>
      </c>
      <c r="L54" s="334">
        <f>SUM(G54:K54)*0.1</f>
        <v>6138.7399494410429</v>
      </c>
      <c r="M54" s="334">
        <f>SUM(G54:K54)*0.05</f>
        <v>3069.3699747205214</v>
      </c>
      <c r="N54" s="436">
        <f>SUM(G54:M54)</f>
        <v>70595.509418571994</v>
      </c>
      <c r="O54" s="441">
        <f>(LOOKUP(2024,Lists!$A$10:$A$15,Lists!$D$10:$D$15))*N54</f>
        <v>73842.902851826308</v>
      </c>
      <c r="P54" s="432">
        <f>(LOOKUP(2025,Lists!$A$10:$A$15,Lists!$D$10:$D$15))*Table145[[#This Row],[Total Estimate - Current FY]]</f>
        <v>76944.304771603012</v>
      </c>
      <c r="Q54" s="432">
        <f>(LOOKUP(2026,Lists!$A$10:$A$15,Lists!$D$10:$D$15))*Table145[[#This Row],[Total Estimate - Current FY]]</f>
        <v>80022.076962467137</v>
      </c>
      <c r="R54" s="432">
        <f>(LOOKUP(2027,Lists!$A$10:$A$15,Lists!$D$10:$D$15))*Table145[[#This Row],[Total Estimate - Current FY]]</f>
        <v>83222.960040965831</v>
      </c>
      <c r="S54" s="433">
        <f>(LOOKUP(2028,Lists!$A$10:$A$15,Lists!$D$10:$D$15))*Table145[[#This Row],[Total Estimate - Current FY]]</f>
        <v>86718.324362686384</v>
      </c>
    </row>
    <row r="55" spans="2:19" x14ac:dyDescent="0.25">
      <c r="B55" s="415" t="s">
        <v>194</v>
      </c>
      <c r="C55" s="458" t="s">
        <v>378</v>
      </c>
      <c r="D55" s="263" t="str">
        <f t="shared" ref="D55:D65" si="11">B55&amp;"-"&amp;C55</f>
        <v>20A-Access</v>
      </c>
      <c r="E55" s="402" t="str">
        <f>_xlfn.XLOOKUP(D55,Table!D:D,Table!E:E)</f>
        <v>Access Channel - General Benefit</v>
      </c>
      <c r="F55" s="406">
        <f>_xlfn.XLOOKUP(D55,Table!D:D,Table!S:S)</f>
        <v>494.01147836662454</v>
      </c>
      <c r="G55" s="334">
        <f>(AVERAGEIF(Table!F:F,E$52,Table!K:K))*F55</f>
        <v>366.74557472723535</v>
      </c>
      <c r="H55" s="334">
        <f>(SUMIF(Table!F:F,E$52,Table!L:L))/(COUNTIF(Table!F:F,E$52))</f>
        <v>56215.827679759997</v>
      </c>
      <c r="I55" s="334">
        <f>(AVERAGEIF(Table!F:F,E$52,Table!AA:AA))*F55</f>
        <v>26179.851703061497</v>
      </c>
      <c r="J55" s="334">
        <f>(AVERAGEIF(Table!F:F,E$52,Table!AI:AI))*F55</f>
        <v>1937.309026026551</v>
      </c>
      <c r="K55" s="334">
        <f>_xlfn.XLOOKUP(D55,Table!D:D,Table!AD:AD)</f>
        <v>3709.6241139056947</v>
      </c>
      <c r="L55" s="334">
        <f t="shared" ref="L55:L65" si="12">SUM(G55:K55)*0.1</f>
        <v>8840.9358097480981</v>
      </c>
      <c r="M55" s="334">
        <f t="shared" ref="M55:M65" si="13">SUM(G55:K55)*0.05</f>
        <v>4420.4679048740491</v>
      </c>
      <c r="N55" s="436">
        <f t="shared" ref="N55:N65" si="14">SUM(G55:M55)</f>
        <v>101670.76181210313</v>
      </c>
      <c r="O55" s="441">
        <f>(LOOKUP(2024,Lists!$A$10:$A$15,Lists!$D$10:$D$15))*N55</f>
        <v>106347.61685545987</v>
      </c>
      <c r="P55" s="432">
        <f>(LOOKUP(2025,Lists!$A$10:$A$15,Lists!$D$10:$D$15))*Table145[[#This Row],[Total Estimate - Current FY]]</f>
        <v>110814.21676338919</v>
      </c>
      <c r="Q55" s="432">
        <f>(LOOKUP(2026,Lists!$A$10:$A$15,Lists!$D$10:$D$15))*Table145[[#This Row],[Total Estimate - Current FY]]</f>
        <v>115246.78543392476</v>
      </c>
      <c r="R55" s="432">
        <f>(LOOKUP(2027,Lists!$A$10:$A$15,Lists!$D$10:$D$15))*Table145[[#This Row],[Total Estimate - Current FY]]</f>
        <v>119856.65685128175</v>
      </c>
      <c r="S55" s="433">
        <f>(LOOKUP(2028,Lists!$A$10:$A$15,Lists!$D$10:$D$15))*Table145[[#This Row],[Total Estimate - Current FY]]</f>
        <v>124890.63643903559</v>
      </c>
    </row>
    <row r="56" spans="2:19" x14ac:dyDescent="0.25">
      <c r="B56" s="415" t="s">
        <v>243</v>
      </c>
      <c r="C56" s="458" t="s">
        <v>370</v>
      </c>
      <c r="D56" s="263" t="str">
        <f t="shared" si="11"/>
        <v>20P-Private</v>
      </c>
      <c r="E56" s="402" t="str">
        <f>_xlfn.XLOOKUP(D56,Table!D:D,Table!E:E)</f>
        <v>Local Canal - Direct Benefit</v>
      </c>
      <c r="F56" s="406">
        <f>_xlfn.XLOOKUP(D56,Table!D:D,Table!S:S)</f>
        <v>649.99611645014761</v>
      </c>
      <c r="G56" s="334">
        <f>(AVERAGEIF(Table!F:F,E$52,Table!K:K))*F56</f>
        <v>482.54587137561856</v>
      </c>
      <c r="H56" s="334">
        <f>(SUMIF(Table!F:F,E$52,Table!L:L))/(COUNTIF(Table!F:F,E$52))</f>
        <v>56215.827679759997</v>
      </c>
      <c r="I56" s="334">
        <f>(AVERAGEIF(Table!F:F,E$52,Table!AA:AA))*F56</f>
        <v>34446.167106266999</v>
      </c>
      <c r="J56" s="334">
        <f>(AVERAGEIF(Table!F:F,E$52,Table!AI:AI))*F56</f>
        <v>2549.0163658637584</v>
      </c>
      <c r="K56" s="334">
        <f>_xlfn.XLOOKUP(D56,Table!D:D,Table!AD:AD)</f>
        <v>3670.6628413595085</v>
      </c>
      <c r="L56" s="334">
        <f t="shared" si="12"/>
        <v>9736.4219864625884</v>
      </c>
      <c r="M56" s="334">
        <f t="shared" si="13"/>
        <v>4868.2109932312942</v>
      </c>
      <c r="N56" s="436">
        <f t="shared" si="14"/>
        <v>111968.85284431976</v>
      </c>
      <c r="O56" s="441">
        <f>(LOOKUP(2024,Lists!$A$10:$A$15,Lists!$D$10:$D$15))*N56</f>
        <v>117119.42007515847</v>
      </c>
      <c r="P56" s="432">
        <f>(LOOKUP(2025,Lists!$A$10:$A$15,Lists!$D$10:$D$15))*Table145[[#This Row],[Total Estimate - Current FY]]</f>
        <v>122038.43571831513</v>
      </c>
      <c r="Q56" s="432">
        <f>(LOOKUP(2026,Lists!$A$10:$A$15,Lists!$D$10:$D$15))*Table145[[#This Row],[Total Estimate - Current FY]]</f>
        <v>126919.97314704774</v>
      </c>
      <c r="R56" s="432">
        <f>(LOOKUP(2027,Lists!$A$10:$A$15,Lists!$D$10:$D$15))*Table145[[#This Row],[Total Estimate - Current FY]]</f>
        <v>131996.77207292966</v>
      </c>
      <c r="S56" s="433">
        <f>(LOOKUP(2028,Lists!$A$10:$A$15,Lists!$D$10:$D$15))*Table145[[#This Row],[Total Estimate - Current FY]]</f>
        <v>137540.63649999269</v>
      </c>
    </row>
    <row r="57" spans="2:19" x14ac:dyDescent="0.25">
      <c r="B57" s="415">
        <v>21</v>
      </c>
      <c r="C57" s="458" t="s">
        <v>370</v>
      </c>
      <c r="D57" s="263" t="str">
        <f t="shared" si="11"/>
        <v>21-Private</v>
      </c>
      <c r="E57" s="402" t="str">
        <f>_xlfn.XLOOKUP(D57,Table!D:D,Table!E:E)</f>
        <v>Local Canal - Direct Benefit</v>
      </c>
      <c r="F57" s="406">
        <f>_xlfn.XLOOKUP(D57,Table!D:D,Table!S:S)</f>
        <v>57.585199016318278</v>
      </c>
      <c r="G57" s="334">
        <f>(AVERAGEIF(Table!F:F,E$52,Table!K:K))*F57</f>
        <v>42.750255477563179</v>
      </c>
      <c r="H57" s="334">
        <f>(SUMIF(Table!F:F,E$52,Table!L:L))/(COUNTIF(Table!F:F,E$52))</f>
        <v>56215.827679759997</v>
      </c>
      <c r="I57" s="334">
        <f>(AVERAGEIF(Table!F:F,E$52,Table!AA:AA))*F57</f>
        <v>3051.6942147236286</v>
      </c>
      <c r="J57" s="334">
        <f>(AVERAGEIF(Table!F:F,E$52,Table!AI:AI))*F57</f>
        <v>225.82537188954856</v>
      </c>
      <c r="K57" s="334">
        <f>_xlfn.XLOOKUP(D57,Table!D:D,Table!AD:AD)</f>
        <v>0</v>
      </c>
      <c r="L57" s="334">
        <f t="shared" si="12"/>
        <v>5953.6097521850743</v>
      </c>
      <c r="M57" s="334">
        <f t="shared" si="13"/>
        <v>2976.8048760925371</v>
      </c>
      <c r="N57" s="436">
        <f t="shared" si="14"/>
        <v>68466.512150128343</v>
      </c>
      <c r="O57" s="441">
        <f>(LOOKUP(2024,Lists!$A$10:$A$15,Lists!$D$10:$D$15))*N57</f>
        <v>71615.971709034246</v>
      </c>
      <c r="P57" s="432">
        <f>(LOOKUP(2025,Lists!$A$10:$A$15,Lists!$D$10:$D$15))*Table145[[#This Row],[Total Estimate - Current FY]]</f>
        <v>74623.84252081369</v>
      </c>
      <c r="Q57" s="432">
        <f>(LOOKUP(2026,Lists!$A$10:$A$15,Lists!$D$10:$D$15))*Table145[[#This Row],[Total Estimate - Current FY]]</f>
        <v>77608.796221646233</v>
      </c>
      <c r="R57" s="432">
        <f>(LOOKUP(2027,Lists!$A$10:$A$15,Lists!$D$10:$D$15))*Table145[[#This Row],[Total Estimate - Current FY]]</f>
        <v>80713.148070512092</v>
      </c>
      <c r="S57" s="433">
        <f>(LOOKUP(2028,Lists!$A$10:$A$15,Lists!$D$10:$D$15))*Table145[[#This Row],[Total Estimate - Current FY]]</f>
        <v>84103.100289473601</v>
      </c>
    </row>
    <row r="58" spans="2:19" x14ac:dyDescent="0.25">
      <c r="B58" s="415" t="s">
        <v>161</v>
      </c>
      <c r="C58" s="458" t="s">
        <v>378</v>
      </c>
      <c r="D58" s="263" t="str">
        <f t="shared" si="11"/>
        <v>21A-Access</v>
      </c>
      <c r="E58" s="402" t="str">
        <f>_xlfn.XLOOKUP(D58,Table!D:D,Table!E:E)</f>
        <v>Access Channel - General Benefit</v>
      </c>
      <c r="F58" s="406">
        <f>_xlfn.XLOOKUP(D58,Table!D:D,Table!S:S)</f>
        <v>381.29184074549232</v>
      </c>
      <c r="G58" s="334">
        <f>(AVERAGEIF(Table!F:F,E$52,Table!K:K))*F58</f>
        <v>283.06446590140303</v>
      </c>
      <c r="H58" s="334">
        <f>(SUMIF(Table!F:F,E$52,Table!L:L))/(COUNTIF(Table!F:F,E$52))</f>
        <v>56215.827679759997</v>
      </c>
      <c r="I58" s="334">
        <f>(AVERAGEIF(Table!F:F,E$52,Table!AA:AA))*F58</f>
        <v>20206.339899851861</v>
      </c>
      <c r="J58" s="334">
        <f>(AVERAGEIF(Table!F:F,E$52,Table!AI:AI))*F58</f>
        <v>1495.269152589038</v>
      </c>
      <c r="K58" s="334">
        <f>_xlfn.XLOOKUP(D58,Table!D:D,Table!AD:AD)</f>
        <v>2481.3859646218361</v>
      </c>
      <c r="L58" s="334">
        <f t="shared" si="12"/>
        <v>8068.1887162724133</v>
      </c>
      <c r="M58" s="334">
        <f t="shared" si="13"/>
        <v>4034.0943581362067</v>
      </c>
      <c r="N58" s="436">
        <f t="shared" si="14"/>
        <v>92784.170237132756</v>
      </c>
      <c r="O58" s="441">
        <f>(LOOKUP(2024,Lists!$A$10:$A$15,Lists!$D$10:$D$15))*N58</f>
        <v>97052.242068040869</v>
      </c>
      <c r="P58" s="432">
        <f>(LOOKUP(2025,Lists!$A$10:$A$15,Lists!$D$10:$D$15))*Table145[[#This Row],[Total Estimate - Current FY]]</f>
        <v>101128.43623489859</v>
      </c>
      <c r="Q58" s="432">
        <f>(LOOKUP(2026,Lists!$A$10:$A$15,Lists!$D$10:$D$15))*Table145[[#This Row],[Total Estimate - Current FY]]</f>
        <v>105173.57368429453</v>
      </c>
      <c r="R58" s="432">
        <f>(LOOKUP(2027,Lists!$A$10:$A$15,Lists!$D$10:$D$15))*Table145[[#This Row],[Total Estimate - Current FY]]</f>
        <v>109380.51663166631</v>
      </c>
      <c r="S58" s="433">
        <f>(LOOKUP(2028,Lists!$A$10:$A$15,Lists!$D$10:$D$15))*Table145[[#This Row],[Total Estimate - Current FY]]</f>
        <v>113974.49833019629</v>
      </c>
    </row>
    <row r="59" spans="2:19" x14ac:dyDescent="0.25">
      <c r="B59" s="415" t="s">
        <v>237</v>
      </c>
      <c r="C59" s="458" t="s">
        <v>370</v>
      </c>
      <c r="D59" s="263" t="str">
        <f t="shared" si="11"/>
        <v>21P-Private</v>
      </c>
      <c r="E59" s="402" t="str">
        <f>_xlfn.XLOOKUP(D59,Table!D:D,Table!E:E)</f>
        <v>Local Canal - Direct Benefit</v>
      </c>
      <c r="F59" s="406">
        <f>_xlfn.XLOOKUP(D59,Table!D:D,Table!S:S)</f>
        <v>1271.9108990790394</v>
      </c>
      <c r="G59" s="334">
        <f>(AVERAGEIF(Table!F:F,E$52,Table!K:K))*F59</f>
        <v>944.24464635292077</v>
      </c>
      <c r="H59" s="334">
        <f>(SUMIF(Table!F:F,E$52,Table!L:L))/(COUNTIF(Table!F:F,E$52))</f>
        <v>56215.827679759997</v>
      </c>
      <c r="I59" s="334">
        <f>(AVERAGEIF(Table!F:F,E$52,Table!AA:AA))*F59</f>
        <v>67404.180217620044</v>
      </c>
      <c r="J59" s="334">
        <f>(AVERAGEIF(Table!F:F,E$52,Table!AI:AI))*F59</f>
        <v>4987.909336103884</v>
      </c>
      <c r="K59" s="334">
        <f>_xlfn.XLOOKUP(D59,Table!D:D,Table!AD:AD)</f>
        <v>8553.9154520458014</v>
      </c>
      <c r="L59" s="334">
        <f t="shared" si="12"/>
        <v>13810.607733188264</v>
      </c>
      <c r="M59" s="334">
        <f t="shared" si="13"/>
        <v>6905.3038665941322</v>
      </c>
      <c r="N59" s="436">
        <f t="shared" si="14"/>
        <v>158821.98893166502</v>
      </c>
      <c r="O59" s="441">
        <f>(LOOKUP(2024,Lists!$A$10:$A$15,Lists!$D$10:$D$15))*N59</f>
        <v>166127.80042252163</v>
      </c>
      <c r="P59" s="432">
        <f>(LOOKUP(2025,Lists!$A$10:$A$15,Lists!$D$10:$D$15))*Table145[[#This Row],[Total Estimate - Current FY]]</f>
        <v>173105.16804026754</v>
      </c>
      <c r="Q59" s="432">
        <f>(LOOKUP(2026,Lists!$A$10:$A$15,Lists!$D$10:$D$15))*Table145[[#This Row],[Total Estimate - Current FY]]</f>
        <v>180029.37476187822</v>
      </c>
      <c r="R59" s="432">
        <f>(LOOKUP(2027,Lists!$A$10:$A$15,Lists!$D$10:$D$15))*Table145[[#This Row],[Total Estimate - Current FY]]</f>
        <v>187230.54975235337</v>
      </c>
      <c r="S59" s="433">
        <f>(LOOKUP(2028,Lists!$A$10:$A$15,Lists!$D$10:$D$15))*Table145[[#This Row],[Total Estimate - Current FY]]</f>
        <v>195094.23284195221</v>
      </c>
    </row>
    <row r="60" spans="2:19" x14ac:dyDescent="0.25">
      <c r="B60" s="415">
        <v>22</v>
      </c>
      <c r="C60" s="458" t="s">
        <v>370</v>
      </c>
      <c r="D60" s="263" t="str">
        <f t="shared" si="11"/>
        <v>22-Private</v>
      </c>
      <c r="E60" s="402" t="str">
        <f>_xlfn.XLOOKUP(D60,Table!D:D,Table!E:E)</f>
        <v>Local Canal - Direct Benefit</v>
      </c>
      <c r="F60" s="406">
        <f>_xlfn.XLOOKUP(D60,Table!D:D,Table!S:S)</f>
        <v>88.634813935855291</v>
      </c>
      <c r="G60" s="334">
        <f>(AVERAGEIF(Table!F:F,E$52,Table!K:K))*F60</f>
        <v>65.800952409495579</v>
      </c>
      <c r="H60" s="334">
        <f>(SUMIF(Table!F:F,E$52,Table!L:L))/(COUNTIF(Table!F:F,E$52))</f>
        <v>56215.827679759997</v>
      </c>
      <c r="I60" s="334">
        <f>(AVERAGEIF(Table!F:F,E$52,Table!AA:AA))*F60</f>
        <v>4697.1505444394743</v>
      </c>
      <c r="J60" s="334">
        <f>(AVERAGEIF(Table!F:F,E$52,Table!AI:AI))*F60</f>
        <v>347.58914028852115</v>
      </c>
      <c r="K60" s="334">
        <f>_xlfn.XLOOKUP(D60,Table!D:D,Table!AD:AD)</f>
        <v>306.58050528146237</v>
      </c>
      <c r="L60" s="334">
        <f t="shared" si="12"/>
        <v>6163.2948822178951</v>
      </c>
      <c r="M60" s="334">
        <f t="shared" si="13"/>
        <v>3081.6474411089475</v>
      </c>
      <c r="N60" s="436">
        <f t="shared" si="14"/>
        <v>70877.891145505797</v>
      </c>
      <c r="O60" s="441">
        <f>(LOOKUP(2024,Lists!$A$10:$A$15,Lists!$D$10:$D$15))*N60</f>
        <v>74138.274138199064</v>
      </c>
      <c r="P60" s="432">
        <f>(LOOKUP(2025,Lists!$A$10:$A$15,Lists!$D$10:$D$15))*Table145[[#This Row],[Total Estimate - Current FY]]</f>
        <v>77252.081652003428</v>
      </c>
      <c r="Q60" s="432">
        <f>(LOOKUP(2026,Lists!$A$10:$A$15,Lists!$D$10:$D$15))*Table145[[#This Row],[Total Estimate - Current FY]]</f>
        <v>80342.164918083567</v>
      </c>
      <c r="R60" s="432">
        <f>(LOOKUP(2027,Lists!$A$10:$A$15,Lists!$D$10:$D$15))*Table145[[#This Row],[Total Estimate - Current FY]]</f>
        <v>83555.851514806913</v>
      </c>
      <c r="S60" s="433">
        <f>(LOOKUP(2028,Lists!$A$10:$A$15,Lists!$D$10:$D$15))*Table145[[#This Row],[Total Estimate - Current FY]]</f>
        <v>87065.197278428794</v>
      </c>
    </row>
    <row r="61" spans="2:19" x14ac:dyDescent="0.25">
      <c r="B61" s="415" t="s">
        <v>231</v>
      </c>
      <c r="C61" s="458" t="s">
        <v>378</v>
      </c>
      <c r="D61" s="263" t="str">
        <f t="shared" si="11"/>
        <v>22A-Access</v>
      </c>
      <c r="E61" s="402" t="str">
        <f>_xlfn.XLOOKUP(D61,Table!D:D,Table!E:E)</f>
        <v>Access Channel - General Benefit</v>
      </c>
      <c r="F61" s="406">
        <f>_xlfn.XLOOKUP(D61,Table!D:D,Table!S:S)</f>
        <v>1032.0990879843446</v>
      </c>
      <c r="G61" s="334">
        <f>(AVERAGEIF(Table!F:F,E$52,Table!K:K))*F61</f>
        <v>766.2125067413142</v>
      </c>
      <c r="H61" s="334">
        <f>(SUMIF(Table!F:F,E$52,Table!L:L))/(COUNTIF(Table!F:F,E$52))</f>
        <v>56215.827679759997</v>
      </c>
      <c r="I61" s="334">
        <f>(AVERAGEIF(Table!F:F,E$52,Table!AA:AA))*F61</f>
        <v>54695.492411701518</v>
      </c>
      <c r="J61" s="334">
        <f>(AVERAGEIF(Table!F:F,E$52,Table!AI:AI))*F61</f>
        <v>4047.4664384659127</v>
      </c>
      <c r="K61" s="334">
        <f>_xlfn.XLOOKUP(D61,Table!D:D,Table!AD:AD)</f>
        <v>5043.1215700028552</v>
      </c>
      <c r="L61" s="334">
        <f t="shared" si="12"/>
        <v>12076.81206066716</v>
      </c>
      <c r="M61" s="334">
        <f t="shared" si="13"/>
        <v>6038.40603033358</v>
      </c>
      <c r="N61" s="436">
        <f t="shared" si="14"/>
        <v>138883.33869767233</v>
      </c>
      <c r="O61" s="441">
        <f>(LOOKUP(2024,Lists!$A$10:$A$15,Lists!$D$10:$D$15))*N61</f>
        <v>145271.97227776525</v>
      </c>
      <c r="P61" s="432">
        <f>(LOOKUP(2025,Lists!$A$10:$A$15,Lists!$D$10:$D$15))*Table145[[#This Row],[Total Estimate - Current FY]]</f>
        <v>151373.39511343141</v>
      </c>
      <c r="Q61" s="432">
        <f>(LOOKUP(2026,Lists!$A$10:$A$15,Lists!$D$10:$D$15))*Table145[[#This Row],[Total Estimate - Current FY]]</f>
        <v>157428.33091796865</v>
      </c>
      <c r="R61" s="432">
        <f>(LOOKUP(2027,Lists!$A$10:$A$15,Lists!$D$10:$D$15))*Table145[[#This Row],[Total Estimate - Current FY]]</f>
        <v>163725.46415468742</v>
      </c>
      <c r="S61" s="433">
        <f>(LOOKUP(2028,Lists!$A$10:$A$15,Lists!$D$10:$D$15))*Table145[[#This Row],[Total Estimate - Current FY]]</f>
        <v>170601.93364918427</v>
      </c>
    </row>
    <row r="62" spans="2:19" x14ac:dyDescent="0.25">
      <c r="B62" s="415" t="s">
        <v>240</v>
      </c>
      <c r="C62" s="458" t="s">
        <v>370</v>
      </c>
      <c r="D62" s="263" t="str">
        <f t="shared" si="11"/>
        <v>22P-Private</v>
      </c>
      <c r="E62" s="402" t="str">
        <f>_xlfn.XLOOKUP(D62,Table!D:D,Table!E:E)</f>
        <v>Local Canal - Direct Benefit</v>
      </c>
      <c r="F62" s="406">
        <f>_xlfn.XLOOKUP(D62,Table!D:D,Table!S:S)</f>
        <v>321.54330045327976</v>
      </c>
      <c r="G62" s="334">
        <f>(AVERAGEIF(Table!F:F,E$52,Table!K:K))*F62</f>
        <v>238.70818328823106</v>
      </c>
      <c r="H62" s="334">
        <f>(SUMIF(Table!F:F,E$52,Table!L:L))/(COUNTIF(Table!F:F,E$52))</f>
        <v>56215.827679759997</v>
      </c>
      <c r="I62" s="334">
        <f>(AVERAGEIF(Table!F:F,E$52,Table!AA:AA))*F62</f>
        <v>17040.00066924058</v>
      </c>
      <c r="J62" s="334">
        <f>(AVERAGEIF(Table!F:F,E$52,Table!AI:AI))*F62</f>
        <v>1260.960049523803</v>
      </c>
      <c r="K62" s="334">
        <f>_xlfn.XLOOKUP(D62,Table!D:D,Table!AD:AD)</f>
        <v>2200.4815766576962</v>
      </c>
      <c r="L62" s="334">
        <f t="shared" si="12"/>
        <v>7695.5978158470307</v>
      </c>
      <c r="M62" s="334">
        <f t="shared" si="13"/>
        <v>3847.7989079235153</v>
      </c>
      <c r="N62" s="436">
        <f t="shared" si="14"/>
        <v>88499.374882240838</v>
      </c>
      <c r="O62" s="441">
        <f>(LOOKUP(2024,Lists!$A$10:$A$15,Lists!$D$10:$D$15))*N62</f>
        <v>92570.346126823919</v>
      </c>
      <c r="P62" s="432">
        <f>(LOOKUP(2025,Lists!$A$10:$A$15,Lists!$D$10:$D$15))*Table145[[#This Row],[Total Estimate - Current FY]]</f>
        <v>96458.300664150534</v>
      </c>
      <c r="Q62" s="432">
        <f>(LOOKUP(2026,Lists!$A$10:$A$15,Lists!$D$10:$D$15))*Table145[[#This Row],[Total Estimate - Current FY]]</f>
        <v>100316.63269071655</v>
      </c>
      <c r="R62" s="432">
        <f>(LOOKUP(2027,Lists!$A$10:$A$15,Lists!$D$10:$D$15))*Table145[[#This Row],[Total Estimate - Current FY]]</f>
        <v>104329.29799834521</v>
      </c>
      <c r="S62" s="433">
        <f>(LOOKUP(2028,Lists!$A$10:$A$15,Lists!$D$10:$D$15))*Table145[[#This Row],[Total Estimate - Current FY]]</f>
        <v>108711.12851427571</v>
      </c>
    </row>
    <row r="63" spans="2:19" x14ac:dyDescent="0.25">
      <c r="B63" s="415">
        <v>23</v>
      </c>
      <c r="C63" s="458" t="s">
        <v>370</v>
      </c>
      <c r="D63" s="263" t="str">
        <f t="shared" si="11"/>
        <v>23-Private</v>
      </c>
      <c r="E63" s="402" t="str">
        <f>_xlfn.XLOOKUP(D63,Table!D:D,Table!E:E)</f>
        <v>Local Canal - Direct Benefit</v>
      </c>
      <c r="F63" s="406">
        <f>_xlfn.XLOOKUP(D63,Table!D:D,Table!S:S)</f>
        <v>99.917505771702452</v>
      </c>
      <c r="G63" s="334">
        <f>(AVERAGEIF(Table!F:F,E$52,Table!K:K))*F63</f>
        <v>74.177027628414237</v>
      </c>
      <c r="H63" s="334">
        <f>(SUMIF(Table!F:F,E$52,Table!L:L))/(COUNTIF(Table!F:F,E$52))</f>
        <v>56215.827679759997</v>
      </c>
      <c r="I63" s="334">
        <f>(AVERAGEIF(Table!F:F,E$52,Table!AA:AA))*F63</f>
        <v>5295.0702528042448</v>
      </c>
      <c r="J63" s="334">
        <f>(AVERAGEIF(Table!F:F,E$52,Table!AI:AI))*F63</f>
        <v>391.83519870751417</v>
      </c>
      <c r="K63" s="334">
        <f>_xlfn.XLOOKUP(D63,Table!D:D,Table!AD:AD)</f>
        <v>320.37662801912819</v>
      </c>
      <c r="L63" s="334">
        <f t="shared" si="12"/>
        <v>6229.7286786919303</v>
      </c>
      <c r="M63" s="334">
        <f t="shared" si="13"/>
        <v>3114.8643393459652</v>
      </c>
      <c r="N63" s="436">
        <f t="shared" si="14"/>
        <v>71641.879804957192</v>
      </c>
      <c r="O63" s="441">
        <f>(LOOKUP(2024,Lists!$A$10:$A$15,Lists!$D$10:$D$15))*N63</f>
        <v>74937.406275985224</v>
      </c>
      <c r="P63" s="432">
        <f>(LOOKUP(2025,Lists!$A$10:$A$15,Lists!$D$10:$D$15))*Table145[[#This Row],[Total Estimate - Current FY]]</f>
        <v>78084.777339576613</v>
      </c>
      <c r="Q63" s="432">
        <f>(LOOKUP(2026,Lists!$A$10:$A$15,Lists!$D$10:$D$15))*Table145[[#This Row],[Total Estimate - Current FY]]</f>
        <v>81208.168433159677</v>
      </c>
      <c r="R63" s="432">
        <f>(LOOKUP(2027,Lists!$A$10:$A$15,Lists!$D$10:$D$15))*Table145[[#This Row],[Total Estimate - Current FY]]</f>
        <v>84456.495170486058</v>
      </c>
      <c r="S63" s="433">
        <f>(LOOKUP(2028,Lists!$A$10:$A$15,Lists!$D$10:$D$15))*Table145[[#This Row],[Total Estimate - Current FY]]</f>
        <v>88003.66796764647</v>
      </c>
    </row>
    <row r="64" spans="2:19" x14ac:dyDescent="0.25">
      <c r="B64" s="415" t="s">
        <v>362</v>
      </c>
      <c r="C64" s="458" t="s">
        <v>370</v>
      </c>
      <c r="D64" s="263" t="str">
        <f t="shared" si="11"/>
        <v>23P-Private</v>
      </c>
      <c r="E64" s="402" t="str">
        <f>_xlfn.XLOOKUP(D64,Table!D:D,Table!E:E)</f>
        <v>Local Canal - Direct Benefit</v>
      </c>
      <c r="F64" s="406">
        <f>_xlfn.XLOOKUP(D64,Table!D:D,Table!S:S)</f>
        <v>135.54810033189014</v>
      </c>
      <c r="G64" s="334">
        <f>(AVERAGEIF(Table!F:F,E$52,Table!K:K))*F64</f>
        <v>100.62856459078287</v>
      </c>
      <c r="H64" s="334">
        <f>(SUMIF(Table!F:F,E$52,Table!L:L))/(COUNTIF(Table!F:F,E$52))</f>
        <v>56215.827679759997</v>
      </c>
      <c r="I64" s="334">
        <f>(AVERAGEIF(Table!F:F,E$52,Table!AA:AA))*F64</f>
        <v>7183.2929409931912</v>
      </c>
      <c r="J64" s="334">
        <f>(AVERAGEIF(Table!F:F,E$52,Table!AI:AI))*F64</f>
        <v>531.56367763349624</v>
      </c>
      <c r="K64" s="334">
        <f>_xlfn.XLOOKUP(D64,Table!D:D,Table!AD:AD)</f>
        <v>956.53117647816259</v>
      </c>
      <c r="L64" s="334">
        <f t="shared" si="12"/>
        <v>6498.7844039455631</v>
      </c>
      <c r="M64" s="334">
        <f t="shared" si="13"/>
        <v>3249.3922019727815</v>
      </c>
      <c r="N64" s="436">
        <f t="shared" si="14"/>
        <v>74736.020645373967</v>
      </c>
      <c r="O64" s="441">
        <f>(LOOKUP(2024,Lists!$A$10:$A$15,Lists!$D$10:$D$15))*N64</f>
        <v>78173.877595061174</v>
      </c>
      <c r="P64" s="432">
        <f>(LOOKUP(2025,Lists!$A$10:$A$15,Lists!$D$10:$D$15))*Table145[[#This Row],[Total Estimate - Current FY]]</f>
        <v>81457.180454053741</v>
      </c>
      <c r="Q64" s="432">
        <f>(LOOKUP(2026,Lists!$A$10:$A$15,Lists!$D$10:$D$15))*Table145[[#This Row],[Total Estimate - Current FY]]</f>
        <v>84715.467672215891</v>
      </c>
      <c r="R64" s="432">
        <f>(LOOKUP(2027,Lists!$A$10:$A$15,Lists!$D$10:$D$15))*Table145[[#This Row],[Total Estimate - Current FY]]</f>
        <v>88104.086379104527</v>
      </c>
      <c r="S64" s="433">
        <f>(LOOKUP(2028,Lists!$A$10:$A$15,Lists!$D$10:$D$15))*Table145[[#This Row],[Total Estimate - Current FY]]</f>
        <v>91804.458007026915</v>
      </c>
    </row>
    <row r="65" spans="2:19" x14ac:dyDescent="0.25">
      <c r="B65" s="415">
        <v>24</v>
      </c>
      <c r="C65" s="458" t="s">
        <v>370</v>
      </c>
      <c r="D65" s="263" t="str">
        <f t="shared" si="11"/>
        <v>24-Private</v>
      </c>
      <c r="E65" s="402" t="str">
        <f>_xlfn.XLOOKUP(D65,Table!D:D,Table!E:E)</f>
        <v>Local Canal - Direct Benefit</v>
      </c>
      <c r="F65" s="406">
        <f>_xlfn.XLOOKUP(D65,Table!D:D,Table!S:S)</f>
        <v>156.45716482790911</v>
      </c>
      <c r="G65" s="334">
        <f>(AVERAGEIF(Table!F:F,E$52,Table!K:K))*F65</f>
        <v>116.15109232830716</v>
      </c>
      <c r="H65" s="334">
        <f>(SUMIF(Table!F:F,E$52,Table!L:L))/(COUNTIF(Table!F:F,E$52))</f>
        <v>56215.827679759997</v>
      </c>
      <c r="I65" s="334">
        <f>(AVERAGEIF(Table!F:F,E$52,Table!AA:AA))*F65</f>
        <v>8291.3566838952975</v>
      </c>
      <c r="J65" s="334">
        <f>(AVERAGEIF(Table!F:F,E$52,Table!AI:AI))*F65</f>
        <v>613.56039460825207</v>
      </c>
      <c r="K65" s="334">
        <f>_xlfn.XLOOKUP(D65,Table!D:D,Table!AD:AD)</f>
        <v>467.53527055423007</v>
      </c>
      <c r="L65" s="334">
        <f t="shared" si="12"/>
        <v>6570.443112114609</v>
      </c>
      <c r="M65" s="334">
        <f t="shared" si="13"/>
        <v>3285.2215560573045</v>
      </c>
      <c r="N65" s="436">
        <f t="shared" si="14"/>
        <v>75560.095789318002</v>
      </c>
      <c r="O65" s="441">
        <f>(LOOKUP(2024,Lists!$A$10:$A$15,Lists!$D$10:$D$15))*N65</f>
        <v>79035.860195626636</v>
      </c>
      <c r="P65" s="432">
        <f>(LOOKUP(2025,Lists!$A$10:$A$15,Lists!$D$10:$D$15))*Table145[[#This Row],[Total Estimate - Current FY]]</f>
        <v>82355.366323842958</v>
      </c>
      <c r="Q65" s="432">
        <f>(LOOKUP(2026,Lists!$A$10:$A$15,Lists!$D$10:$D$15))*Table145[[#This Row],[Total Estimate - Current FY]]</f>
        <v>85649.580976796671</v>
      </c>
      <c r="R65" s="432">
        <f>(LOOKUP(2027,Lists!$A$10:$A$15,Lists!$D$10:$D$15))*Table145[[#This Row],[Total Estimate - Current FY]]</f>
        <v>89075.564215868537</v>
      </c>
      <c r="S65" s="433">
        <f>(LOOKUP(2028,Lists!$A$10:$A$15,Lists!$D$10:$D$15))*Table145[[#This Row],[Total Estimate - Current FY]]</f>
        <v>92816.737912935016</v>
      </c>
    </row>
    <row r="66" spans="2:19" x14ac:dyDescent="0.25">
      <c r="B66" s="415"/>
      <c r="F66" s="407"/>
      <c r="G66" s="407"/>
      <c r="H66" s="407"/>
      <c r="I66" s="407"/>
      <c r="J66" s="407"/>
      <c r="K66" s="407"/>
      <c r="L66" s="407"/>
      <c r="M66" s="407"/>
      <c r="N66" s="407"/>
      <c r="O66" s="415"/>
      <c r="S66" s="434"/>
    </row>
    <row r="67" spans="2:19" x14ac:dyDescent="0.25">
      <c r="B67" s="481">
        <f>E52</f>
        <v>3</v>
      </c>
      <c r="C67" s="482"/>
      <c r="D67" s="483"/>
      <c r="E67" s="405" t="s">
        <v>651</v>
      </c>
      <c r="F67" s="425">
        <f>SUMIF(Table145[Classification],$E$67,Table145[Estimated Dredge Quantities])</f>
        <v>1907.4024070964615</v>
      </c>
      <c r="G67" s="420">
        <f>SUMIF(Table145[Classification],$E$67,Table145[Insurance/Bonding])</f>
        <v>1416.0225473699525</v>
      </c>
      <c r="H67" s="420">
        <f>SUMIF(Table145[Classification],$E$67,Table145[Mob/Demob (LS)])</f>
        <v>168647.48303927999</v>
      </c>
      <c r="I67" s="420">
        <f>SUMIF(Table145[Classification],$E$67,Table145[Dredging &amp; Placement])</f>
        <v>101081.68401461488</v>
      </c>
      <c r="J67" s="420">
        <f>SUMIF(Table145[Classification],$E$67,Table145[Environmental Protection])</f>
        <v>7480.0446170815012</v>
      </c>
      <c r="K67" s="420">
        <f>SUMIF(Table145[Classification],$E$67,Table145[Seagrass Transplanting &amp; Monitoring])</f>
        <v>11234.131648530387</v>
      </c>
      <c r="L67" s="420">
        <f>SUMIF(Table145[Classification],$E$67,Table145[Engineering Fees - Plans, Design &amp; Specs])</f>
        <v>28985.936586687669</v>
      </c>
      <c r="M67" s="420">
        <f>SUMIF(Table145[Classification],$E$67,Table145[Construction Administration])</f>
        <v>14492.968293343834</v>
      </c>
      <c r="N67" s="437">
        <f>SUMIF(Table145[Classification],$E$67,Table145[Total Estimate - Current FY])</f>
        <v>333338.27074690821</v>
      </c>
      <c r="O67" s="447">
        <f>(LOOKUP(2024,Lists!$A$10:$A$15,Lists!$D$10:$D$15))*N67</f>
        <v>348671.83120126597</v>
      </c>
      <c r="P67" s="448">
        <f>(LOOKUP(2025,Lists!$A$10:$A$15,Lists!$D$10:$D$15))*N67</f>
        <v>363316.0481117192</v>
      </c>
      <c r="Q67" s="448">
        <f>(LOOKUP(2026,Lists!$A$10:$A$15,Lists!$D$10:$D$15))*N67</f>
        <v>377848.69003618794</v>
      </c>
      <c r="R67" s="448">
        <f>(LOOKUP(2027,Lists!$A$10:$A$15,Lists!$D$10:$D$15))*N67</f>
        <v>392962.63763763546</v>
      </c>
      <c r="S67" s="449">
        <f>(LOOKUP(2028,Lists!$A$10:$A$15,Lists!$D$10:$D$15))*N67</f>
        <v>409467.06841841614</v>
      </c>
    </row>
    <row r="68" spans="2:19" hidden="1" x14ac:dyDescent="0.25">
      <c r="B68" s="484"/>
      <c r="C68" s="485"/>
      <c r="D68" s="486"/>
      <c r="E68" s="402" t="s">
        <v>689</v>
      </c>
      <c r="F68" s="426">
        <f>SUMIF(Table145[Classification],$E$68,Table145[Estimated Dredge Quantities])</f>
        <v>0</v>
      </c>
      <c r="G68" s="422">
        <f>SUMIF(Table145[Classification],$E$68,Table145[Insurance/Bonding])</f>
        <v>0</v>
      </c>
      <c r="H68" s="422">
        <f>SUMIF(Table145[Classification],$E$68,Table145[Mob/Demob (LS)])</f>
        <v>0</v>
      </c>
      <c r="I68" s="422">
        <f>SUMIF(Table145[Classification],$E$68,Table145[Dredging &amp; Placement])</f>
        <v>0</v>
      </c>
      <c r="J68" s="422">
        <f>SUMIF(Table145[Classification],$E$68,Table145[Environmental Protection])</f>
        <v>0</v>
      </c>
      <c r="K68" s="422">
        <f>SUMIF(Table145[Classification],$E$68,Table145[Seagrass Transplanting &amp; Monitoring])</f>
        <v>0</v>
      </c>
      <c r="L68" s="422">
        <f>SUMIF(Table145[Classification],$E$68,Table145[Engineering Fees - Plans, Design &amp; Specs])</f>
        <v>0</v>
      </c>
      <c r="M68" s="422">
        <f>SUMIF(Table145[Classification],$E$68,Table145[Construction Administration])</f>
        <v>0</v>
      </c>
      <c r="N68" s="438">
        <f>SUMIF(Table145[Classification],$E$68,Table145[Total Estimate - Current FY])</f>
        <v>0</v>
      </c>
      <c r="O68" s="450">
        <f>(LOOKUP(2024,Lists!$A$10:$A$15,Lists!$D$10:$D$15))*N68</f>
        <v>0</v>
      </c>
      <c r="P68" s="451">
        <f>(LOOKUP(2025,Lists!$A$10:$A$15,Lists!$D$10:$D$15))*N68</f>
        <v>0</v>
      </c>
      <c r="Q68" s="451">
        <f>(LOOKUP(2026,Lists!$A$10:$A$15,Lists!$D$10:$D$15))*N68</f>
        <v>0</v>
      </c>
      <c r="R68" s="451">
        <f>(LOOKUP(2027,Lists!$A$10:$A$15,Lists!$D$10:$D$15))*N68</f>
        <v>0</v>
      </c>
      <c r="S68" s="452">
        <f>(LOOKUP(2028,Lists!$A$10:$A$15,Lists!$D$10:$D$15))*N68</f>
        <v>0</v>
      </c>
    </row>
    <row r="69" spans="2:19" ht="15.75" thickBot="1" x14ac:dyDescent="0.3">
      <c r="B69" s="487"/>
      <c r="C69" s="488"/>
      <c r="D69" s="489"/>
      <c r="E69" s="418" t="s">
        <v>650</v>
      </c>
      <c r="F69" s="435">
        <f>SUMIF(Table145[Classification],$E$69,Table145[Estimated Dredge Quantities])</f>
        <v>2871.2864098491345</v>
      </c>
      <c r="G69" s="424">
        <f>SUMIF(Table145[Classification],$E$69,Table145[Insurance/Bonding])</f>
        <v>2131.5933550133559</v>
      </c>
      <c r="H69" s="424">
        <f>SUMIF(Table145[Classification],$E$69,Table145[Mob/Demob (LS)])</f>
        <v>505942.44911783998</v>
      </c>
      <c r="I69" s="424">
        <f>SUMIF(Table145[Classification],$E$69,Table145[Dredging &amp; Placement])</f>
        <v>152162.15755837114</v>
      </c>
      <c r="J69" s="424">
        <f>SUMIF(Table145[Classification],$E$69,Table145[Environmental Protection])</f>
        <v>11259.999659319468</v>
      </c>
      <c r="K69" s="424">
        <f>SUMIF(Table145[Classification],$E$69,Table145[Seagrass Transplanting &amp; Monitoring])</f>
        <v>16476.083450395989</v>
      </c>
      <c r="L69" s="424">
        <f>SUMIF(Table145[Classification],$E$69,Table145[Engineering Fees - Plans, Design &amp; Specs])</f>
        <v>68797.228314093998</v>
      </c>
      <c r="M69" s="424">
        <f>SUMIF(Table145[Classification],$E$69,Table145[Construction Administration])</f>
        <v>34398.614157046999</v>
      </c>
      <c r="N69" s="439">
        <f>SUMIF(Table145[Classification],$E$69,Table145[Total Estimate - Current FY])</f>
        <v>791168.1256120808</v>
      </c>
      <c r="O69" s="453">
        <f>(LOOKUP(2024,Lists!$A$10:$A$15,Lists!$D$10:$D$15))*N69</f>
        <v>827561.85939023655</v>
      </c>
      <c r="P69" s="454">
        <f>(LOOKUP(2025,Lists!$A$10:$A$15,Lists!$D$10:$D$15))*N69</f>
        <v>862319.45748462656</v>
      </c>
      <c r="Q69" s="454">
        <f>(LOOKUP(2026,Lists!$A$10:$A$15,Lists!$D$10:$D$15))*N69</f>
        <v>896812.23578401154</v>
      </c>
      <c r="R69" s="454">
        <f>(LOOKUP(2027,Lists!$A$10:$A$15,Lists!$D$10:$D$15))*N69</f>
        <v>932684.72521537205</v>
      </c>
      <c r="S69" s="455">
        <f>(LOOKUP(2028,Lists!$A$10:$A$15,Lists!$D$10:$D$15))*N69</f>
        <v>971857.4836744176</v>
      </c>
    </row>
    <row r="70" spans="2:19" ht="15.75" thickBot="1" x14ac:dyDescent="0.3"/>
    <row r="71" spans="2:19" x14ac:dyDescent="0.25">
      <c r="B71" s="410" t="s">
        <v>652</v>
      </c>
      <c r="C71" s="411"/>
      <c r="D71" s="411"/>
      <c r="E71" s="467">
        <v>4</v>
      </c>
      <c r="F71" s="412"/>
      <c r="G71" s="412"/>
      <c r="H71" s="412"/>
      <c r="I71" s="412"/>
      <c r="J71" s="412"/>
      <c r="K71" s="412"/>
      <c r="L71" s="412"/>
      <c r="M71" s="413"/>
      <c r="N71" s="412"/>
      <c r="O71" s="490" t="s">
        <v>681</v>
      </c>
      <c r="P71" s="491"/>
      <c r="Q71" s="491"/>
      <c r="R71" s="491"/>
      <c r="S71" s="492"/>
    </row>
    <row r="72" spans="2:19" ht="30" x14ac:dyDescent="0.25">
      <c r="B72" s="415" t="s">
        <v>653</v>
      </c>
      <c r="C72" s="263" t="s">
        <v>674</v>
      </c>
      <c r="D72" s="263" t="s">
        <v>675</v>
      </c>
      <c r="E72" s="402" t="s">
        <v>649</v>
      </c>
      <c r="F72" s="401" t="s">
        <v>632</v>
      </c>
      <c r="G72" s="401" t="s">
        <v>594</v>
      </c>
      <c r="H72" s="401" t="s">
        <v>596</v>
      </c>
      <c r="I72" s="401" t="s">
        <v>669</v>
      </c>
      <c r="J72" s="401" t="s">
        <v>415</v>
      </c>
      <c r="K72" s="401" t="s">
        <v>668</v>
      </c>
      <c r="L72" s="401" t="s">
        <v>617</v>
      </c>
      <c r="M72" s="401" t="s">
        <v>618</v>
      </c>
      <c r="N72" s="401" t="s">
        <v>680</v>
      </c>
      <c r="O72" s="440" t="s">
        <v>682</v>
      </c>
      <c r="P72" s="401" t="s">
        <v>683</v>
      </c>
      <c r="Q72" s="401" t="s">
        <v>684</v>
      </c>
      <c r="R72" s="401" t="s">
        <v>685</v>
      </c>
      <c r="S72" s="430" t="s">
        <v>686</v>
      </c>
    </row>
    <row r="73" spans="2:19" x14ac:dyDescent="0.25">
      <c r="B73" s="415">
        <v>25</v>
      </c>
      <c r="C73" s="458" t="s">
        <v>370</v>
      </c>
      <c r="D73" s="263" t="str">
        <f t="shared" ref="D73:D88" si="15">B73&amp;"-"&amp;C73</f>
        <v>25-Private</v>
      </c>
      <c r="E73" s="402" t="str">
        <f>_xlfn.XLOOKUP(D73,Table!D:D,Table!E:E)</f>
        <v>Local Canal - Direct Benefit</v>
      </c>
      <c r="F73" s="459">
        <f>_xlfn.XLOOKUP(D73,Table!D:D,Table!S:S)</f>
        <v>127.38862054294242</v>
      </c>
      <c r="G73" s="334">
        <f>(AVERAGEIF(Table!F:F,E$71,Table!K:K))*F73</f>
        <v>81.27076612843895</v>
      </c>
      <c r="H73" s="334">
        <f>(SUMIF(Table!F:F,E$71,Table!L:L))/(COUNTIF(Table!F:F,E$71))</f>
        <v>42161.870759819991</v>
      </c>
      <c r="I73" s="334">
        <f>(AVERAGEIF(Table!F:F,E$71,Table!AA:AA))*F73</f>
        <v>5801.4513375359893</v>
      </c>
      <c r="J73" s="334">
        <f>(AVERAGEIF(Table!F:F,E$71,Table!AI:AI))*F73</f>
        <v>429.30739897766313</v>
      </c>
      <c r="K73" s="334">
        <f>_xlfn.XLOOKUP(D73,Table!D:D,Table!AD:AD)</f>
        <v>380.67079405781578</v>
      </c>
      <c r="L73" s="334">
        <f t="shared" ref="L73:L88" si="16">SUM(G73:K73)*0.1</f>
        <v>4885.457105651989</v>
      </c>
      <c r="M73" s="334">
        <f t="shared" ref="M73:M88" si="17">SUM(G73:K73)*0.05</f>
        <v>2442.7285528259945</v>
      </c>
      <c r="N73" s="436">
        <f t="shared" ref="N73:N88" si="18">SUM(G73:M73)</f>
        <v>56182.756714997871</v>
      </c>
      <c r="O73" s="441">
        <f>(LOOKUP(2024,Lists!$A$10:$A$15,Lists!$D$10:$D$15))*Table1456[[#This Row],[Total Estimate - Current FY]]</f>
        <v>58767.163523887779</v>
      </c>
      <c r="P73" s="432">
        <f>(LOOKUP(2025,Lists!$A$10:$A$15,Lists!$D$10:$D$15))*Table1456[[#This Row],[Total Estimate - Current FY]]</f>
        <v>61235.384391891064</v>
      </c>
      <c r="Q73" s="432">
        <f>(LOOKUP(2026,Lists!$A$10:$A$15,Lists!$D$10:$D$15))*Table1456[[#This Row],[Total Estimate - Current FY]]</f>
        <v>63684.799767566707</v>
      </c>
      <c r="R73" s="432">
        <f>(LOOKUP(2027,Lists!$A$10:$A$15,Lists!$D$10:$D$15))*Table1456[[#This Row],[Total Estimate - Current FY]]</f>
        <v>66232.191758269371</v>
      </c>
      <c r="S73" s="433">
        <f>(LOOKUP(2028,Lists!$A$10:$A$15,Lists!$D$10:$D$15))*Table1456[[#This Row],[Total Estimate - Current FY]]</f>
        <v>69013.94381211669</v>
      </c>
    </row>
    <row r="74" spans="2:19" x14ac:dyDescent="0.25">
      <c r="B74" s="415">
        <v>26</v>
      </c>
      <c r="C74" s="458" t="s">
        <v>370</v>
      </c>
      <c r="D74" s="263" t="str">
        <f t="shared" si="15"/>
        <v>26-Private</v>
      </c>
      <c r="E74" s="402" t="str">
        <f>_xlfn.XLOOKUP(D74,Table!D:D,Table!E:E)</f>
        <v>Local Canal - Direct Benefit</v>
      </c>
      <c r="F74" s="459">
        <f>_xlfn.XLOOKUP(D74,Table!D:D,Table!S:S)</f>
        <v>805.85224171508287</v>
      </c>
      <c r="G74" s="334">
        <f>(AVERAGEIF(Table!F:F,E$71,Table!K:K))*F74</f>
        <v>514.11365309845291</v>
      </c>
      <c r="H74" s="334">
        <f>(SUMIF(Table!F:F,E$71,Table!L:L))/(COUNTIF(Table!F:F,E$71))</f>
        <v>42161.870759819991</v>
      </c>
      <c r="I74" s="334">
        <f>(AVERAGEIF(Table!F:F,E$71,Table!AA:AA))*F74</f>
        <v>36699.609004545055</v>
      </c>
      <c r="J74" s="334">
        <f>(AVERAGEIF(Table!F:F,E$71,Table!AI:AI))*F74</f>
        <v>2715.7710663363337</v>
      </c>
      <c r="K74" s="334">
        <f>_xlfn.XLOOKUP(D74,Table!D:D,Table!AD:AD)</f>
        <v>2974.7889653091897</v>
      </c>
      <c r="L74" s="334">
        <f t="shared" si="16"/>
        <v>8506.6153449109024</v>
      </c>
      <c r="M74" s="334">
        <f t="shared" si="17"/>
        <v>4253.3076724554512</v>
      </c>
      <c r="N74" s="436">
        <f t="shared" si="18"/>
        <v>97826.076466475381</v>
      </c>
      <c r="O74" s="441">
        <f>(LOOKUP(2024,Lists!$A$10:$A$15,Lists!$D$10:$D$15))*Table1456[[#This Row],[Total Estimate - Current FY]]</f>
        <v>102326.07598393325</v>
      </c>
      <c r="P74" s="432">
        <f>(LOOKUP(2025,Lists!$A$10:$A$15,Lists!$D$10:$D$15))*Table1456[[#This Row],[Total Estimate - Current FY]]</f>
        <v>106623.77117525846</v>
      </c>
      <c r="Q74" s="432">
        <f>(LOOKUP(2026,Lists!$A$10:$A$15,Lists!$D$10:$D$15))*Table1456[[#This Row],[Total Estimate - Current FY]]</f>
        <v>110888.72202226879</v>
      </c>
      <c r="R74" s="432">
        <f>(LOOKUP(2027,Lists!$A$10:$A$15,Lists!$D$10:$D$15))*Table1456[[#This Row],[Total Estimate - Current FY]]</f>
        <v>115324.27090315954</v>
      </c>
      <c r="S74" s="433">
        <f>(LOOKUP(2028,Lists!$A$10:$A$15,Lists!$D$10:$D$15))*Table1456[[#This Row],[Total Estimate - Current FY]]</f>
        <v>120167.89028109224</v>
      </c>
    </row>
    <row r="75" spans="2:19" x14ac:dyDescent="0.25">
      <c r="B75" s="415">
        <v>27</v>
      </c>
      <c r="C75" s="458" t="s">
        <v>370</v>
      </c>
      <c r="D75" s="263" t="str">
        <f t="shared" si="15"/>
        <v>27-Private</v>
      </c>
      <c r="E75" s="402" t="str">
        <f>_xlfn.XLOOKUP(D75,Table!D:D,Table!E:E)</f>
        <v>Local Canal - Direct Benefit</v>
      </c>
      <c r="F75" s="459">
        <f>_xlfn.XLOOKUP(D75,Table!D:D,Table!S:S)</f>
        <v>112.34743471937833</v>
      </c>
      <c r="G75" s="334">
        <f>(AVERAGEIF(Table!F:F,E$71,Table!K:K))*F75</f>
        <v>71.674864311218172</v>
      </c>
      <c r="H75" s="334">
        <f>(SUMIF(Table!F:F,E$71,Table!L:L))/(COUNTIF(Table!F:F,E$71))</f>
        <v>42161.870759819991</v>
      </c>
      <c r="I75" s="334">
        <f>(AVERAGEIF(Table!F:F,E$71,Table!AA:AA))*F75</f>
        <v>5116.4552425760958</v>
      </c>
      <c r="J75" s="334">
        <f>(AVERAGEIF(Table!F:F,E$71,Table!AI:AI))*F75</f>
        <v>378.61768795063102</v>
      </c>
      <c r="K75" s="334">
        <f>_xlfn.XLOOKUP(D75,Table!D:D,Table!AD:AD)</f>
        <v>720.46418741143657</v>
      </c>
      <c r="L75" s="334">
        <f t="shared" si="16"/>
        <v>4844.9082742069368</v>
      </c>
      <c r="M75" s="334">
        <f t="shared" si="17"/>
        <v>2422.4541371034684</v>
      </c>
      <c r="N75" s="436">
        <f t="shared" si="18"/>
        <v>55716.445153379769</v>
      </c>
      <c r="O75" s="441">
        <f>(LOOKUP(2024,Lists!$A$10:$A$15,Lists!$D$10:$D$15))*Table1456[[#This Row],[Total Estimate - Current FY]]</f>
        <v>58279.401630435241</v>
      </c>
      <c r="P75" s="432">
        <f>(LOOKUP(2025,Lists!$A$10:$A$15,Lists!$D$10:$D$15))*Table1456[[#This Row],[Total Estimate - Current FY]]</f>
        <v>60727.136498913525</v>
      </c>
      <c r="Q75" s="432">
        <f>(LOOKUP(2026,Lists!$A$10:$A$15,Lists!$D$10:$D$15))*Table1456[[#This Row],[Total Estimate - Current FY]]</f>
        <v>63156.221958870061</v>
      </c>
      <c r="R75" s="432">
        <f>(LOOKUP(2027,Lists!$A$10:$A$15,Lists!$D$10:$D$15))*Table1456[[#This Row],[Total Estimate - Current FY]]</f>
        <v>65682.470837224872</v>
      </c>
      <c r="S75" s="433">
        <f>(LOOKUP(2028,Lists!$A$10:$A$15,Lists!$D$10:$D$15))*Table1456[[#This Row],[Total Estimate - Current FY]]</f>
        <v>68441.134612388312</v>
      </c>
    </row>
    <row r="76" spans="2:19" x14ac:dyDescent="0.25">
      <c r="B76" s="415">
        <v>28</v>
      </c>
      <c r="C76" s="458" t="s">
        <v>370</v>
      </c>
      <c r="D76" s="263" t="str">
        <f t="shared" si="15"/>
        <v>28-Private</v>
      </c>
      <c r="E76" s="402" t="str">
        <f>_xlfn.XLOOKUP(D76,Table!D:D,Table!E:E)</f>
        <v>Local Canal - Direct Benefit</v>
      </c>
      <c r="F76" s="459">
        <f>_xlfn.XLOOKUP(D76,Table!D:D,Table!S:S)</f>
        <v>91.509402828796524</v>
      </c>
      <c r="G76" s="334">
        <f>(AVERAGEIF(Table!F:F,E$71,Table!K:K))*F76</f>
        <v>58.38071912667602</v>
      </c>
      <c r="H76" s="334">
        <f>(SUMIF(Table!F:F,E$71,Table!L:L))/(COUNTIF(Table!F:F,E$71))</f>
        <v>42161.870759819991</v>
      </c>
      <c r="I76" s="334">
        <f>(AVERAGEIF(Table!F:F,E$71,Table!AA:AA))*F76</f>
        <v>4167.4628799303182</v>
      </c>
      <c r="J76" s="334">
        <f>(AVERAGEIF(Table!F:F,E$71,Table!AI:AI))*F76</f>
        <v>308.39225311484347</v>
      </c>
      <c r="K76" s="334">
        <f>_xlfn.XLOOKUP(D76,Table!D:D,Table!AD:AD)</f>
        <v>420.14303411280412</v>
      </c>
      <c r="L76" s="334">
        <f t="shared" si="16"/>
        <v>4711.6249646104634</v>
      </c>
      <c r="M76" s="334">
        <f t="shared" si="17"/>
        <v>2355.8124823052317</v>
      </c>
      <c r="N76" s="436">
        <f t="shared" si="18"/>
        <v>54183.687093020329</v>
      </c>
      <c r="O76" s="441">
        <f>(LOOKUP(2024,Lists!$A$10:$A$15,Lists!$D$10:$D$15))*Table1456[[#This Row],[Total Estimate - Current FY]]</f>
        <v>56676.13669929927</v>
      </c>
      <c r="P76" s="432">
        <f>(LOOKUP(2025,Lists!$A$10:$A$15,Lists!$D$10:$D$15))*Table1456[[#This Row],[Total Estimate - Current FY]]</f>
        <v>59056.534440669842</v>
      </c>
      <c r="Q76" s="432">
        <f>(LOOKUP(2026,Lists!$A$10:$A$15,Lists!$D$10:$D$15))*Table1456[[#This Row],[Total Estimate - Current FY]]</f>
        <v>61418.795818296632</v>
      </c>
      <c r="R76" s="432">
        <f>(LOOKUP(2027,Lists!$A$10:$A$15,Lists!$D$10:$D$15))*Table1456[[#This Row],[Total Estimate - Current FY]]</f>
        <v>63875.547651028501</v>
      </c>
      <c r="S76" s="433">
        <f>(LOOKUP(2028,Lists!$A$10:$A$15,Lists!$D$10:$D$15))*Table1456[[#This Row],[Total Estimate - Current FY]]</f>
        <v>66558.320652371694</v>
      </c>
    </row>
    <row r="77" spans="2:19" x14ac:dyDescent="0.25">
      <c r="B77" s="415">
        <v>29</v>
      </c>
      <c r="C77" s="458" t="s">
        <v>370</v>
      </c>
      <c r="D77" s="263" t="str">
        <f t="shared" si="15"/>
        <v>29-Private</v>
      </c>
      <c r="E77" s="402" t="str">
        <f>_xlfn.XLOOKUP(D77,Table!D:D,Table!E:E)</f>
        <v>Local Canal - Direct Benefit</v>
      </c>
      <c r="F77" s="459">
        <f>_xlfn.XLOOKUP(D77,Table!D:D,Table!S:S)</f>
        <v>637.06272516395984</v>
      </c>
      <c r="G77" s="334">
        <f>(AVERAGEIF(Table!F:F,E$71,Table!K:K))*F77</f>
        <v>406.43014678452431</v>
      </c>
      <c r="H77" s="334">
        <f>(SUMIF(Table!F:F,E$71,Table!L:L))/(COUNTIF(Table!F:F,E$71))</f>
        <v>42161.870759819991</v>
      </c>
      <c r="I77" s="334">
        <f>(AVERAGEIF(Table!F:F,E$71,Table!AA:AA))*F77</f>
        <v>29012.704456995842</v>
      </c>
      <c r="J77" s="334">
        <f>(AVERAGEIF(Table!F:F,E$71,Table!AI:AI))*F77</f>
        <v>2146.9401298176917</v>
      </c>
      <c r="K77" s="334">
        <f>_xlfn.XLOOKUP(D77,Table!D:D,Table!AD:AD)</f>
        <v>4407.0947634210215</v>
      </c>
      <c r="L77" s="334">
        <f t="shared" si="16"/>
        <v>7813.5040256839075</v>
      </c>
      <c r="M77" s="334">
        <f t="shared" si="17"/>
        <v>3906.7520128419537</v>
      </c>
      <c r="N77" s="436">
        <f t="shared" si="18"/>
        <v>89855.29629536494</v>
      </c>
      <c r="O77" s="441">
        <f>(LOOKUP(2024,Lists!$A$10:$A$15,Lists!$D$10:$D$15))*Table1456[[#This Row],[Total Estimate - Current FY]]</f>
        <v>93988.639924951727</v>
      </c>
      <c r="P77" s="432">
        <f>(LOOKUP(2025,Lists!$A$10:$A$15,Lists!$D$10:$D$15))*Table1456[[#This Row],[Total Estimate - Current FY]]</f>
        <v>97936.162801799714</v>
      </c>
      <c r="Q77" s="432">
        <f>(LOOKUP(2026,Lists!$A$10:$A$15,Lists!$D$10:$D$15))*Table1456[[#This Row],[Total Estimate - Current FY]]</f>
        <v>101853.6093138717</v>
      </c>
      <c r="R77" s="432">
        <f>(LOOKUP(2027,Lists!$A$10:$A$15,Lists!$D$10:$D$15))*Table1456[[#This Row],[Total Estimate - Current FY]]</f>
        <v>105927.75368642657</v>
      </c>
      <c r="S77" s="433">
        <f>(LOOKUP(2028,Lists!$A$10:$A$15,Lists!$D$10:$D$15))*Table1456[[#This Row],[Total Estimate - Current FY]]</f>
        <v>110376.71934125648</v>
      </c>
    </row>
    <row r="78" spans="2:19" x14ac:dyDescent="0.25">
      <c r="B78" s="460">
        <v>30</v>
      </c>
      <c r="C78" s="469" t="s">
        <v>370</v>
      </c>
      <c r="D78" s="461" t="str">
        <f t="shared" si="15"/>
        <v>30-Private</v>
      </c>
      <c r="E78" s="462" t="str">
        <f>_xlfn.XLOOKUP(D78,Table!D:D,Table!E:E)</f>
        <v>Local Canal - Direct Benefit</v>
      </c>
      <c r="F78" s="463">
        <f>_xlfn.XLOOKUP(D78,Table!D:D,Table!S:S)</f>
        <v>785.47025685986659</v>
      </c>
      <c r="G78" s="464">
        <f>(AVERAGEIF(Table!F:F,E$71,Table!K:K))*F78</f>
        <v>501.11045456045417</v>
      </c>
      <c r="H78" s="464">
        <f>(SUMIF(Table!F:F,E$71,Table!L:L))/(COUNTIF(Table!F:F,E$71))</f>
        <v>42161.870759819991</v>
      </c>
      <c r="I78" s="464">
        <f>(AVERAGEIF(Table!F:F,E$71,Table!AA:AA))*F78</f>
        <v>35771.385645221744</v>
      </c>
      <c r="J78" s="464">
        <f>(AVERAGEIF(Table!F:F,E$71,Table!AI:AI))*F78</f>
        <v>2647.0825377464084</v>
      </c>
      <c r="K78" s="464">
        <f>_xlfn.XLOOKUP(D78,Table!D:D,Table!AD:AD)</f>
        <v>5593.9445444918829</v>
      </c>
      <c r="L78" s="464">
        <f t="shared" si="16"/>
        <v>8667.5393941840484</v>
      </c>
      <c r="M78" s="464">
        <f t="shared" si="17"/>
        <v>4333.7696970920242</v>
      </c>
      <c r="N78" s="432">
        <f t="shared" si="18"/>
        <v>99676.703033116544</v>
      </c>
      <c r="O78" s="441">
        <f>(LOOKUP(2024,Lists!$A$10:$A$15,Lists!$D$10:$D$15))*Table1456[[#This Row],[Total Estimate - Current FY]]</f>
        <v>104261.83137263991</v>
      </c>
      <c r="P78" s="432">
        <f>(LOOKUP(2025,Lists!$A$10:$A$15,Lists!$D$10:$D$15))*Table1456[[#This Row],[Total Estimate - Current FY]]</f>
        <v>108640.8282902908</v>
      </c>
      <c r="Q78" s="432">
        <f>(LOOKUP(2026,Lists!$A$10:$A$15,Lists!$D$10:$D$15))*Table1456[[#This Row],[Total Estimate - Current FY]]</f>
        <v>112986.46142190242</v>
      </c>
      <c r="R78" s="432">
        <f>(LOOKUP(2027,Lists!$A$10:$A$15,Lists!$D$10:$D$15))*Table1456[[#This Row],[Total Estimate - Current FY]]</f>
        <v>117505.91987877851</v>
      </c>
      <c r="S78" s="433">
        <f>(LOOKUP(2028,Lists!$A$10:$A$15,Lists!$D$10:$D$15))*Table1456[[#This Row],[Total Estimate - Current FY]]</f>
        <v>122441.16851368721</v>
      </c>
    </row>
    <row r="79" spans="2:19" x14ac:dyDescent="0.25">
      <c r="B79" s="460">
        <v>31</v>
      </c>
      <c r="C79" s="469" t="s">
        <v>370</v>
      </c>
      <c r="D79" s="461" t="str">
        <f t="shared" si="15"/>
        <v>31-Private</v>
      </c>
      <c r="E79" s="462" t="str">
        <f>_xlfn.XLOOKUP(D79,Table!D:D,Table!E:E)</f>
        <v>Local Canal - Direct Benefit</v>
      </c>
      <c r="F79" s="463">
        <f>_xlfn.XLOOKUP(D79,Table!D:D,Table!S:S)</f>
        <v>7033.8816011841127</v>
      </c>
      <c r="G79" s="464">
        <f>(AVERAGEIF(Table!F:F,E$71,Table!K:K))*F79</f>
        <v>4487.4412184427583</v>
      </c>
      <c r="H79" s="464">
        <f>(SUMIF(Table!F:F,E$71,Table!L:L))/(COUNTIF(Table!F:F,E$71))</f>
        <v>42161.870759819991</v>
      </c>
      <c r="I79" s="464">
        <f>(AVERAGEIF(Table!F:F,E$71,Table!AA:AA))*F79</f>
        <v>320332.55128548556</v>
      </c>
      <c r="J79" s="464">
        <f>(AVERAGEIF(Table!F:F,E$71,Table!AI:AI))*F79</f>
        <v>23704.608795125925</v>
      </c>
      <c r="K79" s="464">
        <f>_xlfn.XLOOKUP(D79,Table!D:D,Table!AD:AD)</f>
        <v>65052.5509644103</v>
      </c>
      <c r="L79" s="464">
        <f t="shared" si="16"/>
        <v>45573.902302328454</v>
      </c>
      <c r="M79" s="464">
        <f t="shared" si="17"/>
        <v>22786.951151164227</v>
      </c>
      <c r="N79" s="432">
        <f t="shared" si="18"/>
        <v>524099.87647677719</v>
      </c>
      <c r="O79" s="441">
        <f>(LOOKUP(2024,Lists!$A$10:$A$15,Lists!$D$10:$D$15))*Table1456[[#This Row],[Total Estimate - Current FY]]</f>
        <v>548208.47079470893</v>
      </c>
      <c r="P79" s="432">
        <f>(LOOKUP(2025,Lists!$A$10:$A$15,Lists!$D$10:$D$15))*Table1456[[#This Row],[Total Estimate - Current FY]]</f>
        <v>571233.22656808677</v>
      </c>
      <c r="Q79" s="432">
        <f>(LOOKUP(2026,Lists!$A$10:$A$15,Lists!$D$10:$D$15))*Table1456[[#This Row],[Total Estimate - Current FY]]</f>
        <v>594082.55563081021</v>
      </c>
      <c r="R79" s="432">
        <f>(LOOKUP(2027,Lists!$A$10:$A$15,Lists!$D$10:$D$15))*Table1456[[#This Row],[Total Estimate - Current FY]]</f>
        <v>617845.85785604268</v>
      </c>
      <c r="S79" s="433">
        <f>(LOOKUP(2028,Lists!$A$10:$A$15,Lists!$D$10:$D$15))*Table1456[[#This Row],[Total Estimate - Current FY]]</f>
        <v>643795.38388599642</v>
      </c>
    </row>
    <row r="80" spans="2:19" x14ac:dyDescent="0.25">
      <c r="B80" s="460">
        <v>32</v>
      </c>
      <c r="C80" s="469" t="s">
        <v>370</v>
      </c>
      <c r="D80" s="461" t="str">
        <f t="shared" si="15"/>
        <v>32-Private</v>
      </c>
      <c r="E80" s="462" t="str">
        <f>_xlfn.XLOOKUP(D80,Table!D:D,Table!E:E)</f>
        <v>Local Canal - Direct Benefit</v>
      </c>
      <c r="F80" s="463">
        <f>_xlfn.XLOOKUP(D80,Table!D:D,Table!S:S)</f>
        <v>699.30351425792969</v>
      </c>
      <c r="G80" s="464">
        <f>(AVERAGEIF(Table!F:F,E$71,Table!K:K))*F80</f>
        <v>446.13821955072842</v>
      </c>
      <c r="H80" s="464">
        <f>(SUMIF(Table!F:F,E$71,Table!L:L))/(COUNTIF(Table!F:F,E$71))</f>
        <v>42161.870759819991</v>
      </c>
      <c r="I80" s="464">
        <f>(AVERAGEIF(Table!F:F,E$71,Table!AA:AA))*F80</f>
        <v>31847.234791020339</v>
      </c>
      <c r="J80" s="464">
        <f>(AVERAGEIF(Table!F:F,E$71,Table!AI:AI))*F80</f>
        <v>2356.6953745355049</v>
      </c>
      <c r="K80" s="464">
        <f>_xlfn.XLOOKUP(D80,Table!D:D,Table!AD:AD)</f>
        <v>2322.2195856298767</v>
      </c>
      <c r="L80" s="464">
        <f t="shared" si="16"/>
        <v>7913.4158730556437</v>
      </c>
      <c r="M80" s="464">
        <f t="shared" si="17"/>
        <v>3956.7079365278219</v>
      </c>
      <c r="N80" s="432">
        <f t="shared" si="18"/>
        <v>91004.282540139888</v>
      </c>
      <c r="O80" s="441">
        <f>(LOOKUP(2024,Lists!$A$10:$A$15,Lists!$D$10:$D$15))*Table1456[[#This Row],[Total Estimate - Current FY]]</f>
        <v>95190.479536986328</v>
      </c>
      <c r="P80" s="432">
        <f>(LOOKUP(2025,Lists!$A$10:$A$15,Lists!$D$10:$D$15))*Table1456[[#This Row],[Total Estimate - Current FY]]</f>
        <v>99188.479677539755</v>
      </c>
      <c r="Q80" s="432">
        <f>(LOOKUP(2026,Lists!$A$10:$A$15,Lists!$D$10:$D$15))*Table1456[[#This Row],[Total Estimate - Current FY]]</f>
        <v>103156.01886464134</v>
      </c>
      <c r="R80" s="432">
        <f>(LOOKUP(2027,Lists!$A$10:$A$15,Lists!$D$10:$D$15))*Table1456[[#This Row],[Total Estimate - Current FY]]</f>
        <v>107282.259619227</v>
      </c>
      <c r="S80" s="433">
        <f>(LOOKUP(2028,Lists!$A$10:$A$15,Lists!$D$10:$D$15))*Table1456[[#This Row],[Total Estimate - Current FY]]</f>
        <v>111788.11452323453</v>
      </c>
    </row>
    <row r="81" spans="2:19" x14ac:dyDescent="0.25">
      <c r="B81" s="460" t="s">
        <v>358</v>
      </c>
      <c r="C81" s="469" t="s">
        <v>378</v>
      </c>
      <c r="D81" s="461" t="str">
        <f t="shared" si="15"/>
        <v>24P-Access</v>
      </c>
      <c r="E81" s="462" t="str">
        <f>_xlfn.XLOOKUP(D81,Table!D:D,Table!E:E)</f>
        <v>Access Channel - General Benefit</v>
      </c>
      <c r="F81" s="463">
        <f>_xlfn.XLOOKUP(D81,Table!D:D,Table!S:S)</f>
        <v>1024.0139365091165</v>
      </c>
      <c r="G81" s="464">
        <f>(AVERAGEIF(Table!F:F,E$71,Table!K:K))*F81</f>
        <v>653.29537906598534</v>
      </c>
      <c r="H81" s="464">
        <f>(SUMIF(Table!F:F,E$71,Table!L:L))/(COUNTIF(Table!F:F,E$71))</f>
        <v>42161.870759819991</v>
      </c>
      <c r="I81" s="464">
        <f>(AVERAGEIF(Table!F:F,E$71,Table!AA:AA))*F81</f>
        <v>46634.989815386914</v>
      </c>
      <c r="J81" s="464">
        <f>(AVERAGEIF(Table!F:F,E$71,Table!AI:AI))*F81</f>
        <v>3450.9892463386309</v>
      </c>
      <c r="K81" s="464">
        <f>_xlfn.XLOOKUP(D81,Table!D:D,Table!AD:AD)</f>
        <v>8105.2221083786608</v>
      </c>
      <c r="L81" s="464">
        <f t="shared" si="16"/>
        <v>10100.636730899019</v>
      </c>
      <c r="M81" s="464">
        <f t="shared" si="17"/>
        <v>5050.3183654495097</v>
      </c>
      <c r="N81" s="432">
        <f t="shared" si="18"/>
        <v>116157.32240533871</v>
      </c>
      <c r="O81" s="441">
        <f>(LOOKUP(2024,Lists!$A$10:$A$15,Lists!$D$10:$D$15))*Table1456[[#This Row],[Total Estimate - Current FY]]</f>
        <v>121500.5592359843</v>
      </c>
      <c r="P81" s="432">
        <f>(LOOKUP(2025,Lists!$A$10:$A$15,Lists!$D$10:$D$15))*Table1456[[#This Row],[Total Estimate - Current FY]]</f>
        <v>126603.58272389564</v>
      </c>
      <c r="Q81" s="432">
        <f>(LOOKUP(2026,Lists!$A$10:$A$15,Lists!$D$10:$D$15))*Table1456[[#This Row],[Total Estimate - Current FY]]</f>
        <v>131667.72603285147</v>
      </c>
      <c r="R81" s="432">
        <f>(LOOKUP(2027,Lists!$A$10:$A$15,Lists!$D$10:$D$15))*Table1456[[#This Row],[Total Estimate - Current FY]]</f>
        <v>136934.43507416552</v>
      </c>
      <c r="S81" s="433">
        <f>(LOOKUP(2028,Lists!$A$10:$A$15,Lists!$D$10:$D$15))*Table1456[[#This Row],[Total Estimate - Current FY]]</f>
        <v>142685.68134728048</v>
      </c>
    </row>
    <row r="82" spans="2:19" x14ac:dyDescent="0.25">
      <c r="B82" s="460" t="s">
        <v>235</v>
      </c>
      <c r="C82" s="469" t="s">
        <v>378</v>
      </c>
      <c r="D82" s="461" t="str">
        <f t="shared" si="15"/>
        <v>26P-Access</v>
      </c>
      <c r="E82" s="462" t="str">
        <f>_xlfn.XLOOKUP(D82,Table!D:D,Table!E:E)</f>
        <v>Access Channel - General Benefit</v>
      </c>
      <c r="F82" s="463">
        <f>_xlfn.XLOOKUP(D82,Table!D:D,Table!S:S)</f>
        <v>4033.1723205701319</v>
      </c>
      <c r="G82" s="464">
        <f>(AVERAGEIF(Table!F:F,E$71,Table!K:K))*F82</f>
        <v>2573.0634575029017</v>
      </c>
      <c r="H82" s="464">
        <f>(SUMIF(Table!F:F,E$71,Table!L:L))/(COUNTIF(Table!F:F,E$71))</f>
        <v>42161.870759819991</v>
      </c>
      <c r="I82" s="464">
        <f>(AVERAGEIF(Table!F:F,E$71,Table!AA:AA))*F82</f>
        <v>183676.16239157895</v>
      </c>
      <c r="J82" s="464">
        <f>(AVERAGEIF(Table!F:F,E$71,Table!AI:AI))*F82</f>
        <v>13592.036016976841</v>
      </c>
      <c r="K82" s="464">
        <f>_xlfn.XLOOKUP(D82,Table!D:D,Table!AD:AD)</f>
        <v>35793.273991610731</v>
      </c>
      <c r="L82" s="464">
        <f t="shared" si="16"/>
        <v>27779.640661748941</v>
      </c>
      <c r="M82" s="464">
        <f t="shared" si="17"/>
        <v>13889.820330874471</v>
      </c>
      <c r="N82" s="432">
        <f t="shared" si="18"/>
        <v>319465.86761011282</v>
      </c>
      <c r="O82" s="441">
        <f>(LOOKUP(2024,Lists!$A$10:$A$15,Lists!$D$10:$D$15))*Table1456[[#This Row],[Total Estimate - Current FY]]</f>
        <v>334161.29752017802</v>
      </c>
      <c r="P82" s="432">
        <f>(LOOKUP(2025,Lists!$A$10:$A$15,Lists!$D$10:$D$15))*Table1456[[#This Row],[Total Estimate - Current FY]]</f>
        <v>348196.07201602554</v>
      </c>
      <c r="Q82" s="432">
        <f>(LOOKUP(2026,Lists!$A$10:$A$15,Lists!$D$10:$D$15))*Table1456[[#This Row],[Total Estimate - Current FY]]</f>
        <v>362123.91489666654</v>
      </c>
      <c r="R82" s="432">
        <f>(LOOKUP(2027,Lists!$A$10:$A$15,Lists!$D$10:$D$15))*Table1456[[#This Row],[Total Estimate - Current FY]]</f>
        <v>376608.87149253319</v>
      </c>
      <c r="S82" s="433">
        <f>(LOOKUP(2028,Lists!$A$10:$A$15,Lists!$D$10:$D$15))*Table1456[[#This Row],[Total Estimate - Current FY]]</f>
        <v>392426.4440952196</v>
      </c>
    </row>
    <row r="83" spans="2:19" x14ac:dyDescent="0.25">
      <c r="B83" s="460" t="s">
        <v>235</v>
      </c>
      <c r="C83" s="469" t="s">
        <v>655</v>
      </c>
      <c r="D83" s="461" t="str">
        <f t="shared" si="15"/>
        <v>26P-Access.1</v>
      </c>
      <c r="E83" s="462" t="str">
        <f>_xlfn.XLOOKUP(D83,Table!D:D,Table!E:E)</f>
        <v>Access Channel - General Benefit</v>
      </c>
      <c r="F83" s="463">
        <f>_xlfn.XLOOKUP(D83,Table!D:D,Table!S:S)</f>
        <v>2969.46270425988</v>
      </c>
      <c r="G83" s="464">
        <f>(AVERAGEIF(Table!F:F,E$71,Table!K:K))*F83</f>
        <v>1894.4432237075257</v>
      </c>
      <c r="H83" s="464">
        <f>(SUMIF(Table!F:F,E$71,Table!L:L))/(COUNTIF(Table!F:F,E$71))</f>
        <v>42161.870759819991</v>
      </c>
      <c r="I83" s="464">
        <f>(AVERAGEIF(Table!F:F,E$71,Table!AA:AA))*F83</f>
        <v>135233.37723548446</v>
      </c>
      <c r="J83" s="464">
        <f>(AVERAGEIF(Table!F:F,E$71,Table!AI:AI))*F83</f>
        <v>10007.269915425848</v>
      </c>
      <c r="K83" s="464">
        <f>_xlfn.XLOOKUP(D83,Table!D:D,Table!AD:AD)</f>
        <v>26353.149266485703</v>
      </c>
      <c r="L83" s="464">
        <f t="shared" si="16"/>
        <v>21565.011040092355</v>
      </c>
      <c r="M83" s="464">
        <f t="shared" si="17"/>
        <v>10782.505520046177</v>
      </c>
      <c r="N83" s="432">
        <f t="shared" si="18"/>
        <v>247997.62696106205</v>
      </c>
      <c r="O83" s="441">
        <f>(LOOKUP(2024,Lists!$A$10:$A$15,Lists!$D$10:$D$15))*Table1456[[#This Row],[Total Estimate - Current FY]]</f>
        <v>259405.51780127091</v>
      </c>
      <c r="P83" s="432">
        <f>(LOOKUP(2025,Lists!$A$10:$A$15,Lists!$D$10:$D$15))*Table1456[[#This Row],[Total Estimate - Current FY]]</f>
        <v>270300.54954892432</v>
      </c>
      <c r="Q83" s="432">
        <f>(LOOKUP(2026,Lists!$A$10:$A$15,Lists!$D$10:$D$15))*Table1456[[#This Row],[Total Estimate - Current FY]]</f>
        <v>281112.57153088128</v>
      </c>
      <c r="R83" s="432">
        <f>(LOOKUP(2027,Lists!$A$10:$A$15,Lists!$D$10:$D$15))*Table1456[[#This Row],[Total Estimate - Current FY]]</f>
        <v>292357.07439211651</v>
      </c>
      <c r="S83" s="433">
        <f>(LOOKUP(2028,Lists!$A$10:$A$15,Lists!$D$10:$D$15))*Table1456[[#This Row],[Total Estimate - Current FY]]</f>
        <v>304636.07151658542</v>
      </c>
    </row>
    <row r="84" spans="2:19" x14ac:dyDescent="0.25">
      <c r="B84" s="460" t="s">
        <v>208</v>
      </c>
      <c r="C84" s="469" t="s">
        <v>378</v>
      </c>
      <c r="D84" s="461" t="str">
        <f t="shared" si="15"/>
        <v>31A-Access</v>
      </c>
      <c r="E84" s="462" t="str">
        <f>_xlfn.XLOOKUP(D84,Table!D:D,Table!E:E)</f>
        <v>Access Channel - General Benefit</v>
      </c>
      <c r="F84" s="463">
        <f>_xlfn.XLOOKUP(D84,Table!D:D,Table!S:S)</f>
        <v>6355.0591668737961</v>
      </c>
      <c r="G84" s="464">
        <f>(AVERAGEIF(Table!F:F,E$71,Table!K:K))*F84</f>
        <v>4054.3694176301087</v>
      </c>
      <c r="H84" s="464">
        <f>(SUMIF(Table!F:F,E$71,Table!L:L))/(COUNTIF(Table!F:F,E$71))</f>
        <v>42161.870759819991</v>
      </c>
      <c r="I84" s="464">
        <f>(AVERAGEIF(Table!F:F,E$71,Table!AA:AA))*F84</f>
        <v>289418.05277930631</v>
      </c>
      <c r="J84" s="464">
        <f>(AVERAGEIF(Table!F:F,E$71,Table!AI:AI))*F84</f>
        <v>21416.935905668666</v>
      </c>
      <c r="K84" s="464">
        <f>_xlfn.XLOOKUP(D84,Table!D:D,Table!AD:AD)</f>
        <v>60038.682284286377</v>
      </c>
      <c r="L84" s="464">
        <f t="shared" si="16"/>
        <v>41708.991114671146</v>
      </c>
      <c r="M84" s="464">
        <f t="shared" si="17"/>
        <v>20854.495557335573</v>
      </c>
      <c r="N84" s="432">
        <f t="shared" si="18"/>
        <v>479653.39781871816</v>
      </c>
      <c r="O84" s="441">
        <f>(LOOKUP(2024,Lists!$A$10:$A$15,Lists!$D$10:$D$15))*Table1456[[#This Row],[Total Estimate - Current FY]]</f>
        <v>501717.45411837922</v>
      </c>
      <c r="P84" s="432">
        <f>(LOOKUP(2025,Lists!$A$10:$A$15,Lists!$D$10:$D$15))*Table1456[[#This Row],[Total Estimate - Current FY]]</f>
        <v>522789.58719135117</v>
      </c>
      <c r="Q84" s="432">
        <f>(LOOKUP(2026,Lists!$A$10:$A$15,Lists!$D$10:$D$15))*Table1456[[#This Row],[Total Estimate - Current FY]]</f>
        <v>543701.17067900521</v>
      </c>
      <c r="R84" s="432">
        <f>(LOOKUP(2027,Lists!$A$10:$A$15,Lists!$D$10:$D$15))*Table1456[[#This Row],[Total Estimate - Current FY]]</f>
        <v>565449.21750616538</v>
      </c>
      <c r="S84" s="433">
        <f>(LOOKUP(2028,Lists!$A$10:$A$15,Lists!$D$10:$D$15))*Table1456[[#This Row],[Total Estimate - Current FY]]</f>
        <v>589198.08464142436</v>
      </c>
    </row>
    <row r="85" spans="2:19" x14ac:dyDescent="0.25">
      <c r="B85" s="460" t="s">
        <v>208</v>
      </c>
      <c r="C85" s="469" t="s">
        <v>655</v>
      </c>
      <c r="D85" s="461" t="str">
        <f t="shared" si="15"/>
        <v>31A-Access.1</v>
      </c>
      <c r="E85" s="462" t="str">
        <f>_xlfn.XLOOKUP(D85,Table!D:D,Table!E:E)</f>
        <v>Access Channel - General Benefit</v>
      </c>
      <c r="F85" s="463">
        <f>_xlfn.XLOOKUP(D85,Table!D:D,Table!S:S)</f>
        <v>8834.8843822028466</v>
      </c>
      <c r="G85" s="464">
        <f>(AVERAGEIF(Table!F:F,E$71,Table!K:K))*F85</f>
        <v>5636.4361222968355</v>
      </c>
      <c r="H85" s="464">
        <f>(SUMIF(Table!F:F,E$71,Table!L:L))/(COUNTIF(Table!F:F,E$71))</f>
        <v>42161.870759819991</v>
      </c>
      <c r="I85" s="464">
        <f>(AVERAGEIF(Table!F:F,E$71,Table!AA:AA))*F85</f>
        <v>402352.67167233775</v>
      </c>
      <c r="J85" s="464">
        <f>(AVERAGEIF(Table!F:F,E$71,Table!AI:AI))*F85</f>
        <v>29774.097703752988</v>
      </c>
      <c r="K85" s="464">
        <f>_xlfn.XLOOKUP(D85,Table!D:D,Table!AD:AD)</f>
        <v>83466.542562878138</v>
      </c>
      <c r="L85" s="464">
        <f t="shared" si="16"/>
        <v>56339.161882108572</v>
      </c>
      <c r="M85" s="464">
        <f t="shared" si="17"/>
        <v>28169.580941054286</v>
      </c>
      <c r="N85" s="432">
        <f t="shared" si="18"/>
        <v>647900.36164424848</v>
      </c>
      <c r="O85" s="441">
        <f>(LOOKUP(2024,Lists!$A$10:$A$15,Lists!$D$10:$D$15))*Table1456[[#This Row],[Total Estimate - Current FY]]</f>
        <v>677703.7782798839</v>
      </c>
      <c r="P85" s="432">
        <f>(LOOKUP(2025,Lists!$A$10:$A$15,Lists!$D$10:$D$15))*Table1456[[#This Row],[Total Estimate - Current FY]]</f>
        <v>706167.33696763916</v>
      </c>
      <c r="Q85" s="432">
        <f>(LOOKUP(2026,Lists!$A$10:$A$15,Lists!$D$10:$D$15))*Table1456[[#This Row],[Total Estimate - Current FY]]</f>
        <v>734414.03044634464</v>
      </c>
      <c r="R85" s="432">
        <f>(LOOKUP(2027,Lists!$A$10:$A$15,Lists!$D$10:$D$15))*Table1456[[#This Row],[Total Estimate - Current FY]]</f>
        <v>763790.59166419844</v>
      </c>
      <c r="S85" s="433">
        <f>(LOOKUP(2028,Lists!$A$10:$A$15,Lists!$D$10:$D$15))*Table1456[[#This Row],[Total Estimate - Current FY]]</f>
        <v>795869.79651409481</v>
      </c>
    </row>
    <row r="86" spans="2:19" x14ac:dyDescent="0.25">
      <c r="B86" s="460" t="s">
        <v>261</v>
      </c>
      <c r="C86" s="469" t="s">
        <v>370</v>
      </c>
      <c r="D86" s="461" t="str">
        <f t="shared" si="15"/>
        <v>31C-Private</v>
      </c>
      <c r="E86" s="462" t="str">
        <f>_xlfn.XLOOKUP(D86,Table!D:D,Table!E:E)</f>
        <v>Local Canal - Direct Benefit</v>
      </c>
      <c r="F86" s="463">
        <f>_xlfn.XLOOKUP(D86,Table!D:D,Table!S:S)</f>
        <v>2299.7374307258806</v>
      </c>
      <c r="G86" s="464">
        <f>(AVERAGEIF(Table!F:F,E$71,Table!K:K))*F86</f>
        <v>1467.1751848222273</v>
      </c>
      <c r="H86" s="464">
        <f>(SUMIF(Table!F:F,E$71,Table!L:L))/(COUNTIF(Table!F:F,E$71))</f>
        <v>42161.870759819991</v>
      </c>
      <c r="I86" s="464">
        <f>(AVERAGEIF(Table!F:F,E$71,Table!AA:AA))*F86</f>
        <v>104733.17582529865</v>
      </c>
      <c r="J86" s="464">
        <f>(AVERAGEIF(Table!F:F,E$71,Table!AI:AI))*F86</f>
        <v>7750.2550110720986</v>
      </c>
      <c r="K86" s="464">
        <f>_xlfn.XLOOKUP(D86,Table!D:D,Table!AD:AD)</f>
        <v>21269.022553901454</v>
      </c>
      <c r="L86" s="464">
        <f t="shared" si="16"/>
        <v>17738.149933491441</v>
      </c>
      <c r="M86" s="464">
        <f t="shared" si="17"/>
        <v>8869.0749667457203</v>
      </c>
      <c r="N86" s="432">
        <f t="shared" si="18"/>
        <v>203988.72423515157</v>
      </c>
      <c r="O86" s="441">
        <f>(LOOKUP(2024,Lists!$A$10:$A$15,Lists!$D$10:$D$15))*Table1456[[#This Row],[Total Estimate - Current FY]]</f>
        <v>213372.20554996855</v>
      </c>
      <c r="P86" s="432">
        <f>(LOOKUP(2025,Lists!$A$10:$A$15,Lists!$D$10:$D$15))*Table1456[[#This Row],[Total Estimate - Current FY]]</f>
        <v>222333.83818306724</v>
      </c>
      <c r="Q86" s="432">
        <f>(LOOKUP(2026,Lists!$A$10:$A$15,Lists!$D$10:$D$15))*Table1456[[#This Row],[Total Estimate - Current FY]]</f>
        <v>231227.19171038992</v>
      </c>
      <c r="R86" s="432">
        <f>(LOOKUP(2027,Lists!$A$10:$A$15,Lists!$D$10:$D$15))*Table1456[[#This Row],[Total Estimate - Current FY]]</f>
        <v>240476.27937880554</v>
      </c>
      <c r="S86" s="433">
        <f>(LOOKUP(2028,Lists!$A$10:$A$15,Lists!$D$10:$D$15))*Table1456[[#This Row],[Total Estimate - Current FY]]</f>
        <v>250576.28311271535</v>
      </c>
    </row>
    <row r="87" spans="2:19" x14ac:dyDescent="0.25">
      <c r="B87" s="460" t="s">
        <v>262</v>
      </c>
      <c r="C87" s="469" t="s">
        <v>370</v>
      </c>
      <c r="D87" s="461" t="str">
        <f t="shared" si="15"/>
        <v>31D-Private</v>
      </c>
      <c r="E87" s="462" t="str">
        <f>_xlfn.XLOOKUP(D87,Table!D:D,Table!E:E)</f>
        <v>Local Canal - Direct Benefit</v>
      </c>
      <c r="F87" s="463">
        <f>_xlfn.XLOOKUP(D87,Table!D:D,Table!S:S)</f>
        <v>644.74951557981422</v>
      </c>
      <c r="G87" s="464">
        <f>(AVERAGEIF(Table!F:F,E$71,Table!K:K))*F87</f>
        <v>411.33412756006493</v>
      </c>
      <c r="H87" s="464">
        <f>(SUMIF(Table!F:F,E$71,Table!L:L))/(COUNTIF(Table!F:F,E$71))</f>
        <v>42161.870759819991</v>
      </c>
      <c r="I87" s="464">
        <f>(AVERAGEIF(Table!F:F,E$71,Table!AA:AA))*F87</f>
        <v>29362.771365243618</v>
      </c>
      <c r="J87" s="464">
        <f>(AVERAGEIF(Table!F:F,E$71,Table!AI:AI))*F87</f>
        <v>2172.8450810280274</v>
      </c>
      <c r="K87" s="464">
        <f>_xlfn.XLOOKUP(D87,Table!D:D,Table!AD:AD)</f>
        <v>5103.2879941643423</v>
      </c>
      <c r="L87" s="464">
        <f t="shared" si="16"/>
        <v>7921.2109327816061</v>
      </c>
      <c r="M87" s="464">
        <f t="shared" si="17"/>
        <v>3960.605466390803</v>
      </c>
      <c r="N87" s="432">
        <f t="shared" si="18"/>
        <v>91093.925726988455</v>
      </c>
      <c r="O87" s="441">
        <f>(LOOKUP(2024,Lists!$A$10:$A$15,Lists!$D$10:$D$15))*Table1456[[#This Row],[Total Estimate - Current FY]]</f>
        <v>95284.246310429924</v>
      </c>
      <c r="P87" s="432">
        <f>(LOOKUP(2025,Lists!$A$10:$A$15,Lists!$D$10:$D$15))*Table1456[[#This Row],[Total Estimate - Current FY]]</f>
        <v>99286.184655467994</v>
      </c>
      <c r="Q87" s="432">
        <f>(LOOKUP(2026,Lists!$A$10:$A$15,Lists!$D$10:$D$15))*Table1456[[#This Row],[Total Estimate - Current FY]]</f>
        <v>103257.63204168671</v>
      </c>
      <c r="R87" s="432">
        <f>(LOOKUP(2027,Lists!$A$10:$A$15,Lists!$D$10:$D$15))*Table1456[[#This Row],[Total Estimate - Current FY]]</f>
        <v>107387.93732335418</v>
      </c>
      <c r="S87" s="433">
        <f>(LOOKUP(2028,Lists!$A$10:$A$15,Lists!$D$10:$D$15))*Table1456[[#This Row],[Total Estimate - Current FY]]</f>
        <v>111898.23069093504</v>
      </c>
    </row>
    <row r="88" spans="2:19" x14ac:dyDescent="0.25">
      <c r="B88" s="460" t="s">
        <v>263</v>
      </c>
      <c r="C88" s="469" t="s">
        <v>370</v>
      </c>
      <c r="D88" s="461" t="str">
        <f t="shared" si="15"/>
        <v>31E-Private</v>
      </c>
      <c r="E88" s="462" t="str">
        <f>_xlfn.XLOOKUP(D88,Table!D:D,Table!E:E)</f>
        <v>Local Canal - Direct Benefit</v>
      </c>
      <c r="F88" s="463">
        <f>_xlfn.XLOOKUP(D88,Table!D:D,Table!S:S)</f>
        <v>643.92363279388098</v>
      </c>
      <c r="G88" s="464">
        <f>(AVERAGEIF(Table!F:F,E$71,Table!K:K))*F88</f>
        <v>410.80723491879911</v>
      </c>
      <c r="H88" s="464">
        <f>(SUMIF(Table!F:F,E$71,Table!L:L))/(COUNTIF(Table!F:F,E$71))</f>
        <v>42161.870759819991</v>
      </c>
      <c r="I88" s="464">
        <f>(AVERAGEIF(Table!F:F,E$71,Table!AA:AA))*F88</f>
        <v>29325.159537965174</v>
      </c>
      <c r="J88" s="464">
        <f>(AVERAGEIF(Table!F:F,E$71,Table!AI:AI))*F88</f>
        <v>2170.0618058094224</v>
      </c>
      <c r="K88" s="464">
        <f>_xlfn.XLOOKUP(D88,Table!D:D,Table!AD:AD)</f>
        <v>5385.7252846548899</v>
      </c>
      <c r="L88" s="464">
        <f t="shared" si="16"/>
        <v>7945.3624623168289</v>
      </c>
      <c r="M88" s="464">
        <f t="shared" si="17"/>
        <v>3972.6812311584144</v>
      </c>
      <c r="N88" s="432">
        <f t="shared" si="18"/>
        <v>91371.66831664354</v>
      </c>
      <c r="O88" s="441">
        <f>(LOOKUP(2024,Lists!$A$10:$A$15,Lists!$D$10:$D$15))*Table1456[[#This Row],[Total Estimate - Current FY]]</f>
        <v>95574.765059209152</v>
      </c>
      <c r="P88" s="432">
        <f>(LOOKUP(2025,Lists!$A$10:$A$15,Lists!$D$10:$D$15))*Table1456[[#This Row],[Total Estimate - Current FY]]</f>
        <v>99588.905191695943</v>
      </c>
      <c r="Q88" s="432">
        <f>(LOOKUP(2026,Lists!$A$10:$A$15,Lists!$D$10:$D$15))*Table1456[[#This Row],[Total Estimate - Current FY]]</f>
        <v>103572.46139936378</v>
      </c>
      <c r="R88" s="432">
        <f>(LOOKUP(2027,Lists!$A$10:$A$15,Lists!$D$10:$D$15))*Table1456[[#This Row],[Total Estimate - Current FY]]</f>
        <v>107715.35985533832</v>
      </c>
      <c r="S88" s="433">
        <f>(LOOKUP(2028,Lists!$A$10:$A$15,Lists!$D$10:$D$15))*Table1456[[#This Row],[Total Estimate - Current FY]]</f>
        <v>112239.40496926253</v>
      </c>
    </row>
    <row r="89" spans="2:19" x14ac:dyDescent="0.25">
      <c r="B89" s="415"/>
      <c r="F89" s="407"/>
      <c r="G89" s="407"/>
      <c r="H89" s="407"/>
      <c r="I89" s="407"/>
      <c r="J89" s="407"/>
      <c r="K89" s="407"/>
      <c r="L89" s="407"/>
      <c r="M89" s="407"/>
      <c r="N89" s="407"/>
      <c r="O89" s="415"/>
      <c r="S89" s="434"/>
    </row>
    <row r="90" spans="2:19" x14ac:dyDescent="0.25">
      <c r="B90" s="481">
        <f>E71</f>
        <v>4</v>
      </c>
      <c r="C90" s="482"/>
      <c r="D90" s="483"/>
      <c r="E90" s="405" t="s">
        <v>651</v>
      </c>
      <c r="F90" s="425">
        <f>SUMIF(Table1456[Classification],$E$90,Table1456[Estimated Dredge Quantities])</f>
        <v>23216.592510415772</v>
      </c>
      <c r="G90" s="420">
        <f>SUMIF(Table1456[Classification],$E$90,Table1456[Insurance/Bonding])</f>
        <v>14811.607600203359</v>
      </c>
      <c r="H90" s="420">
        <f>SUMIF(Table1456[Classification],$E$90,Table1456[Mob/Demob (LS)])</f>
        <v>210809.35379909995</v>
      </c>
      <c r="I90" s="420">
        <f>SUMIF(Table1456[Classification],$E$90,Table1456[Dredging &amp; Placement])</f>
        <v>1057315.2538940944</v>
      </c>
      <c r="J90" s="420">
        <f>SUMIF(Table1456[Classification],$E$90,Table1456[Environmental Protection])</f>
        <v>78241.328788162966</v>
      </c>
      <c r="K90" s="420">
        <f>SUMIF(Table1456[Classification],$E$90,Table1456[Seagrass Transplanting &amp; Monitoring])</f>
        <v>213756.87021363963</v>
      </c>
      <c r="L90" s="420">
        <f>SUMIF(Table1456[Classification],$E$90,Table1456[Engineering Fees - Plans, Design &amp; Specs])</f>
        <v>157493.44142952003</v>
      </c>
      <c r="M90" s="420">
        <f>SUMIF(Table1456[Classification],$E$90,Table1456[Construction Administration])</f>
        <v>78746.720714760013</v>
      </c>
      <c r="N90" s="437">
        <f>SUMIF(Table1456[Classification],$E$90,Table1456[Total Estimate - Current FY])</f>
        <v>1811174.5764394803</v>
      </c>
      <c r="O90" s="447">
        <f>(LOOKUP(2024,Lists!$A$10:$A$15,Lists!$D$10:$D$15))*N90</f>
        <v>1894488.6069556964</v>
      </c>
      <c r="P90" s="448">
        <f>(LOOKUP(2025,Lists!$A$10:$A$15,Lists!$D$10:$D$15))*N90</f>
        <v>1974057.1284478358</v>
      </c>
      <c r="Q90" s="448">
        <f>(LOOKUP(2026,Lists!$A$10:$A$15,Lists!$D$10:$D$15))*N90</f>
        <v>2053019.4135857492</v>
      </c>
      <c r="R90" s="448">
        <f>(LOOKUP(2027,Lists!$A$10:$A$15,Lists!$D$10:$D$15))*N90</f>
        <v>2135140.190129179</v>
      </c>
      <c r="S90" s="449">
        <f>(LOOKUP(2028,Lists!$A$10:$A$15,Lists!$D$10:$D$15))*N90</f>
        <v>2224816.0781146046</v>
      </c>
    </row>
    <row r="91" spans="2:19" hidden="1" x14ac:dyDescent="0.25">
      <c r="B91" s="484"/>
      <c r="C91" s="485"/>
      <c r="D91" s="486"/>
      <c r="E91" s="402" t="s">
        <v>689</v>
      </c>
      <c r="F91" s="426">
        <f>SUMIF(Table1456[Classification],$E$91,Table1456[Estimated Dredge Quantities])</f>
        <v>0</v>
      </c>
      <c r="G91" s="422">
        <f>SUMIF(Table1456[Classification],$E$91,Table1456[Insurance/Bonding])</f>
        <v>0</v>
      </c>
      <c r="H91" s="422">
        <f>SUMIF(Table1456[Classification],$E$91,Table1456[Mob/Demob (LS)])</f>
        <v>0</v>
      </c>
      <c r="I91" s="422">
        <f>SUMIF(Table1456[Classification],$E$91,Table1456[Dredging &amp; Placement])</f>
        <v>0</v>
      </c>
      <c r="J91" s="422">
        <f>SUMIF(Table1456[Classification],$E$91,Table1456[Environmental Protection])</f>
        <v>0</v>
      </c>
      <c r="K91" s="422">
        <f>SUMIF(Table1456[Classification],$E$91,Table1456[Seagrass Transplanting &amp; Monitoring])</f>
        <v>0</v>
      </c>
      <c r="L91" s="422">
        <f>SUMIF(Table1456[Classification],$E$91,Table1456[Engineering Fees - Plans, Design &amp; Specs])</f>
        <v>0</v>
      </c>
      <c r="M91" s="422">
        <f>SUMIF(Table1456[Classification],$E$91,Table1456[Construction Administration])</f>
        <v>0</v>
      </c>
      <c r="N91" s="438">
        <f>SUMIF(Table1456[Classification],$E$91,Table1456[Total Estimate - Current FY])</f>
        <v>0</v>
      </c>
      <c r="O91" s="450">
        <f>(LOOKUP(2024,Lists!$A$10:$A$15,Lists!$D$10:$D$15))*N91</f>
        <v>0</v>
      </c>
      <c r="P91" s="451">
        <f>(LOOKUP(2025,Lists!$A$10:$A$15,Lists!$D$10:$D$15))*N91</f>
        <v>0</v>
      </c>
      <c r="Q91" s="451">
        <f>(LOOKUP(2026,Lists!$A$10:$A$15,Lists!$D$10:$D$15))*N91</f>
        <v>0</v>
      </c>
      <c r="R91" s="451">
        <f>(LOOKUP(2027,Lists!$A$10:$A$15,Lists!$D$10:$D$15))*N91</f>
        <v>0</v>
      </c>
      <c r="S91" s="452">
        <f>(LOOKUP(2028,Lists!$A$10:$A$15,Lists!$D$10:$D$15))*N91</f>
        <v>0</v>
      </c>
    </row>
    <row r="92" spans="2:19" ht="15.75" thickBot="1" x14ac:dyDescent="0.3">
      <c r="B92" s="487"/>
      <c r="C92" s="488"/>
      <c r="D92" s="489"/>
      <c r="E92" s="418" t="s">
        <v>650</v>
      </c>
      <c r="F92" s="435">
        <f>SUMIF(Table1456[Classification],$E$92,Table1456[Estimated Dredge Quantities])</f>
        <v>13881.226376371644</v>
      </c>
      <c r="G92" s="424">
        <f>SUMIF(Table1456[Classification],$E$92,Table1456[Insurance/Bonding])</f>
        <v>8855.8765893043419</v>
      </c>
      <c r="H92" s="424">
        <f>SUMIF(Table1456[Classification],$E$92,Table1456[Mob/Demob (LS)])</f>
        <v>463780.57835801988</v>
      </c>
      <c r="I92" s="424">
        <f>SUMIF(Table1456[Classification],$E$92,Table1456[Dredging &amp; Placement])</f>
        <v>632169.96137181844</v>
      </c>
      <c r="J92" s="424">
        <f>SUMIF(Table1456[Classification],$E$92,Table1456[Environmental Protection])</f>
        <v>46780.577141514543</v>
      </c>
      <c r="K92" s="424">
        <f>SUMIF(Table1456[Classification],$E$92,Table1456[Seagrass Transplanting &amp; Monitoring])</f>
        <v>113629.91267156502</v>
      </c>
      <c r="L92" s="424">
        <f>SUMIF(Table1456[Classification],$E$92,Table1456[Engineering Fees - Plans, Design &amp; Specs])</f>
        <v>126521.69061322221</v>
      </c>
      <c r="M92" s="424">
        <f>SUMIF(Table1456[Classification],$E$92,Table1456[Construction Administration])</f>
        <v>63260.845306611103</v>
      </c>
      <c r="N92" s="439">
        <f>SUMIF(Table1456[Classification],$E$92,Table1456[Total Estimate - Current FY])</f>
        <v>1454999.4420520554</v>
      </c>
      <c r="O92" s="453">
        <f>(LOOKUP(2024,Lists!$A$10:$A$15,Lists!$D$10:$D$15))*N92</f>
        <v>1521929.4163864499</v>
      </c>
      <c r="P92" s="454">
        <f>(LOOKUP(2025,Lists!$A$10:$A$15,Lists!$D$10:$D$15))*N92</f>
        <v>1585850.451874681</v>
      </c>
      <c r="Q92" s="454">
        <f>(LOOKUP(2026,Lists!$A$10:$A$15,Lists!$D$10:$D$15))*N92</f>
        <v>1649284.4699496683</v>
      </c>
      <c r="R92" s="454">
        <f>(LOOKUP(2027,Lists!$A$10:$A$15,Lists!$D$10:$D$15))*N92</f>
        <v>1715255.8487476551</v>
      </c>
      <c r="S92" s="455">
        <f>(LOOKUP(2028,Lists!$A$10:$A$15,Lists!$D$10:$D$15))*N92</f>
        <v>1787296.5943950564</v>
      </c>
    </row>
    <row r="93" spans="2:19" ht="15.75" thickBot="1" x14ac:dyDescent="0.3"/>
    <row r="94" spans="2:19" x14ac:dyDescent="0.25">
      <c r="B94" s="410" t="s">
        <v>652</v>
      </c>
      <c r="C94" s="411"/>
      <c r="D94" s="411"/>
      <c r="E94" s="467">
        <v>5</v>
      </c>
      <c r="F94" s="412"/>
      <c r="G94" s="412"/>
      <c r="H94" s="412"/>
      <c r="I94" s="412"/>
      <c r="J94" s="412"/>
      <c r="K94" s="412"/>
      <c r="L94" s="412"/>
      <c r="M94" s="413"/>
      <c r="N94" s="412"/>
      <c r="O94" s="490" t="s">
        <v>681</v>
      </c>
      <c r="P94" s="491"/>
      <c r="Q94" s="491"/>
      <c r="R94" s="491"/>
      <c r="S94" s="492"/>
    </row>
    <row r="95" spans="2:19" ht="30" x14ac:dyDescent="0.25">
      <c r="B95" s="415" t="s">
        <v>653</v>
      </c>
      <c r="C95" s="263" t="s">
        <v>674</v>
      </c>
      <c r="D95" s="263" t="s">
        <v>675</v>
      </c>
      <c r="E95" s="402" t="s">
        <v>649</v>
      </c>
      <c r="F95" s="401" t="s">
        <v>632</v>
      </c>
      <c r="G95" s="401" t="s">
        <v>594</v>
      </c>
      <c r="H95" s="401" t="s">
        <v>596</v>
      </c>
      <c r="I95" s="401" t="s">
        <v>669</v>
      </c>
      <c r="J95" s="401" t="s">
        <v>415</v>
      </c>
      <c r="K95" s="401" t="s">
        <v>668</v>
      </c>
      <c r="L95" s="401" t="s">
        <v>617</v>
      </c>
      <c r="M95" s="401" t="s">
        <v>618</v>
      </c>
      <c r="N95" s="401" t="s">
        <v>680</v>
      </c>
      <c r="O95" s="440" t="s">
        <v>682</v>
      </c>
      <c r="P95" s="401" t="s">
        <v>683</v>
      </c>
      <c r="Q95" s="401" t="s">
        <v>684</v>
      </c>
      <c r="R95" s="401" t="s">
        <v>685</v>
      </c>
      <c r="S95" s="430" t="s">
        <v>686</v>
      </c>
    </row>
    <row r="96" spans="2:19" x14ac:dyDescent="0.25">
      <c r="B96" s="460" t="s">
        <v>213</v>
      </c>
      <c r="C96" s="469" t="s">
        <v>378</v>
      </c>
      <c r="D96" s="263" t="str">
        <f t="shared" ref="D96:D110" si="19">B96&amp;"-"&amp;C96</f>
        <v>32A-Access</v>
      </c>
      <c r="E96" s="402" t="str">
        <f>_xlfn.XLOOKUP(D96,Table!D:D,Table!E:E)</f>
        <v>Access Channel - General Benefit</v>
      </c>
      <c r="F96" s="459">
        <f>_xlfn.XLOOKUP(D96,Table!D:D,Table!S:S)</f>
        <v>1459.3701189644885</v>
      </c>
      <c r="G96" s="334">
        <f>(AVERAGEIF(Table!F:F,E$94,Table!K:K))*F96</f>
        <v>893.70723185323027</v>
      </c>
      <c r="H96" s="334">
        <f>(SUMIF(Table!F:F,E$94,Table!L:L))/(COUNTIF(Table!F:F,E$94))</f>
        <v>44972.662143807982</v>
      </c>
      <c r="I96" s="334">
        <f>(AVERAGEIF(Table!F:F,E$94,Table!AA:AA))*F96</f>
        <v>63796.605625773729</v>
      </c>
      <c r="J96" s="334">
        <f>(AVERAGEIF(Table!F:F,E$94,Table!AI:AI))*F96</f>
        <v>4720.9488163072556</v>
      </c>
      <c r="K96" s="334">
        <f>_xlfn.XLOOKUP(D96,Table!D:D,Table!AD:AD)</f>
        <v>12174.12025191107</v>
      </c>
      <c r="L96" s="334">
        <f>SUM(G96:K96)*0.1</f>
        <v>12655.804406965326</v>
      </c>
      <c r="M96" s="334">
        <f t="shared" ref="M96:M110" si="20">SUM(G96:K96)*0.05</f>
        <v>6327.902203482663</v>
      </c>
      <c r="N96" s="436">
        <f t="shared" ref="N96:N110" si="21">SUM(G96:M96)</f>
        <v>145541.75068010125</v>
      </c>
      <c r="O96" s="441">
        <f>(LOOKUP(2024,Lists!$A$10:$A$15,Lists!$D$10:$D$15))*Table14563[[#This Row],[Total Estimate - Current FY]]</f>
        <v>152236.67121138592</v>
      </c>
      <c r="P96" s="432">
        <f>(LOOKUP(2025,Lists!$A$10:$A$15,Lists!$D$10:$D$15))*Table14563[[#This Row],[Total Estimate - Current FY]]</f>
        <v>158630.61140226413</v>
      </c>
      <c r="Q96" s="432">
        <f>(LOOKUP(2026,Lists!$A$10:$A$15,Lists!$D$10:$D$15))*Table14563[[#This Row],[Total Estimate - Current FY]]</f>
        <v>164975.83585835469</v>
      </c>
      <c r="R96" s="432">
        <f>(LOOKUP(2027,Lists!$A$10:$A$15,Lists!$D$10:$D$15))*Table14563[[#This Row],[Total Estimate - Current FY]]</f>
        <v>171574.86929268888</v>
      </c>
      <c r="S96" s="433">
        <f>(LOOKUP(2028,Lists!$A$10:$A$15,Lists!$D$10:$D$15))*Table14563[[#This Row],[Total Estimate - Current FY]]</f>
        <v>178781.01380298182</v>
      </c>
    </row>
    <row r="97" spans="2:19" x14ac:dyDescent="0.25">
      <c r="B97" s="460" t="s">
        <v>217</v>
      </c>
      <c r="C97" s="469" t="s">
        <v>378</v>
      </c>
      <c r="D97" s="263" t="str">
        <f t="shared" si="19"/>
        <v>32B-Access</v>
      </c>
      <c r="E97" s="402" t="str">
        <f>_xlfn.XLOOKUP(D97,Table!D:D,Table!E:E)</f>
        <v>Access Channel - General Benefit</v>
      </c>
      <c r="F97" s="459">
        <f>_xlfn.XLOOKUP(D97,Table!D:D,Table!S:S)</f>
        <v>389.75471342309174</v>
      </c>
      <c r="G97" s="334">
        <f>(AVERAGEIF(Table!F:F,E$94,Table!K:K))*F97</f>
        <v>238.68284097954481</v>
      </c>
      <c r="H97" s="334">
        <f>(SUMIF(Table!F:F,E$94,Table!L:L))/(COUNTIF(Table!F:F,E$94))</f>
        <v>44972.662143807982</v>
      </c>
      <c r="I97" s="334">
        <f>(AVERAGEIF(Table!F:F,E$94,Table!AA:AA))*F97</f>
        <v>17038.191627962537</v>
      </c>
      <c r="J97" s="334">
        <f>(AVERAGEIF(Table!F:F,E$94,Table!AI:AI))*F97</f>
        <v>1260.8261804692277</v>
      </c>
      <c r="K97" s="334">
        <f>_xlfn.XLOOKUP(D97,Table!D:D,Table!AD:AD)</f>
        <v>3084.966334394715</v>
      </c>
      <c r="L97" s="334">
        <f t="shared" ref="L97:L110" si="22">SUM(G97:K97)*0.1</f>
        <v>6659.5329127614013</v>
      </c>
      <c r="M97" s="334">
        <f t="shared" si="20"/>
        <v>3329.7664563807007</v>
      </c>
      <c r="N97" s="436">
        <f t="shared" si="21"/>
        <v>76584.628496756108</v>
      </c>
      <c r="O97" s="441">
        <f>(LOOKUP(2024,Lists!$A$10:$A$15,Lists!$D$10:$D$15))*Table14563[[#This Row],[Total Estimate - Current FY]]</f>
        <v>80107.521407606895</v>
      </c>
      <c r="P97" s="432">
        <f>(LOOKUP(2025,Lists!$A$10:$A$15,Lists!$D$10:$D$15))*Table14563[[#This Row],[Total Estimate - Current FY]]</f>
        <v>83472.037306726386</v>
      </c>
      <c r="Q97" s="432">
        <f>(LOOKUP(2026,Lists!$A$10:$A$15,Lists!$D$10:$D$15))*Table14563[[#This Row],[Total Estimate - Current FY]]</f>
        <v>86810.918798995437</v>
      </c>
      <c r="R97" s="432">
        <f>(LOOKUP(2027,Lists!$A$10:$A$15,Lists!$D$10:$D$15))*Table14563[[#This Row],[Total Estimate - Current FY]]</f>
        <v>90283.355550955253</v>
      </c>
      <c r="S97" s="433">
        <f>(LOOKUP(2028,Lists!$A$10:$A$15,Lists!$D$10:$D$15))*Table14563[[#This Row],[Total Estimate - Current FY]]</f>
        <v>94075.256484095371</v>
      </c>
    </row>
    <row r="98" spans="2:19" x14ac:dyDescent="0.25">
      <c r="B98" s="460" t="s">
        <v>217</v>
      </c>
      <c r="C98" s="469" t="s">
        <v>370</v>
      </c>
      <c r="D98" s="263" t="str">
        <f t="shared" si="19"/>
        <v>32B-Private</v>
      </c>
      <c r="E98" s="402" t="str">
        <f>_xlfn.XLOOKUP(D98,Table!D:D,Table!E:E)</f>
        <v>Local Canal - Direct Benefit</v>
      </c>
      <c r="F98" s="459">
        <f>_xlfn.XLOOKUP(D98,Table!D:D,Table!S:S)</f>
        <v>755.30105955282374</v>
      </c>
      <c r="G98" s="334">
        <f>(AVERAGEIF(Table!F:F,E$94,Table!K:K))*F98</f>
        <v>462.5406607802359</v>
      </c>
      <c r="H98" s="334">
        <f>(SUMIF(Table!F:F,E$94,Table!L:L))/(COUNTIF(Table!F:F,E$94))</f>
        <v>44972.662143807982</v>
      </c>
      <c r="I98" s="334">
        <f>(AVERAGEIF(Table!F:F,E$94,Table!AA:AA))*F98</f>
        <v>33018.11048400194</v>
      </c>
      <c r="J98" s="334">
        <f>(AVERAGEIF(Table!F:F,E$94,Table!AI:AI))*F98</f>
        <v>2443.3401758161431</v>
      </c>
      <c r="K98" s="334">
        <f>_xlfn.XLOOKUP(D98,Table!D:D,Table!AD:AD)</f>
        <v>5978.3198529885167</v>
      </c>
      <c r="L98" s="334">
        <f t="shared" si="22"/>
        <v>8687.4973317394815</v>
      </c>
      <c r="M98" s="334">
        <f t="shared" si="20"/>
        <v>4343.7486658697408</v>
      </c>
      <c r="N98" s="436">
        <f t="shared" si="21"/>
        <v>99906.21931500404</v>
      </c>
      <c r="O98" s="441">
        <f>(LOOKUP(2024,Lists!$A$10:$A$15,Lists!$D$10:$D$15))*Table14563[[#This Row],[Total Estimate - Current FY]]</f>
        <v>104501.90540349422</v>
      </c>
      <c r="P98" s="432">
        <f>(LOOKUP(2025,Lists!$A$10:$A$15,Lists!$D$10:$D$15))*Table14563[[#This Row],[Total Estimate - Current FY]]</f>
        <v>108890.985430441</v>
      </c>
      <c r="Q98" s="432">
        <f>(LOOKUP(2026,Lists!$A$10:$A$15,Lists!$D$10:$D$15))*Table14563[[#This Row],[Total Estimate - Current FY]]</f>
        <v>113246.62484765863</v>
      </c>
      <c r="R98" s="432">
        <f>(LOOKUP(2027,Lists!$A$10:$A$15,Lists!$D$10:$D$15))*Table14563[[#This Row],[Total Estimate - Current FY]]</f>
        <v>117776.48984156498</v>
      </c>
      <c r="S98" s="433">
        <f>(LOOKUP(2028,Lists!$A$10:$A$15,Lists!$D$10:$D$15))*Table14563[[#This Row],[Total Estimate - Current FY]]</f>
        <v>122723.10241491071</v>
      </c>
    </row>
    <row r="99" spans="2:19" x14ac:dyDescent="0.25">
      <c r="B99" s="460" t="s">
        <v>315</v>
      </c>
      <c r="C99" s="469" t="s">
        <v>378</v>
      </c>
      <c r="D99" s="263" t="str">
        <f t="shared" si="19"/>
        <v>32P-Access</v>
      </c>
      <c r="E99" s="402" t="str">
        <f>_xlfn.XLOOKUP(D99,Table!D:D,Table!E:E)</f>
        <v>Access Channel - General Benefit</v>
      </c>
      <c r="F99" s="459">
        <f>_xlfn.XLOOKUP(D99,Table!D:D,Table!S:S)</f>
        <v>3437.7828402897408</v>
      </c>
      <c r="G99" s="334">
        <f>(AVERAGEIF(Table!F:F,E$94,Table!K:K))*F99</f>
        <v>2105.2722307949634</v>
      </c>
      <c r="H99" s="334">
        <f>(SUMIF(Table!F:F,E$94,Table!L:L))/(COUNTIF(Table!F:F,E$94))</f>
        <v>44972.662143807982</v>
      </c>
      <c r="I99" s="334">
        <f>(AVERAGEIF(Table!F:F,E$94,Table!AA:AA))*F99</f>
        <v>150283.24428393593</v>
      </c>
      <c r="J99" s="334">
        <f>(AVERAGEIF(Table!F:F,E$94,Table!AI:AI))*F99</f>
        <v>11120.960077011257</v>
      </c>
      <c r="K99" s="334">
        <f>_xlfn.XLOOKUP(D99,Table!D:D,Table!AD:AD)</f>
        <v>20546.003528946003</v>
      </c>
      <c r="L99" s="334">
        <f t="shared" si="22"/>
        <v>22902.814226449613</v>
      </c>
      <c r="M99" s="334">
        <f t="shared" si="20"/>
        <v>11451.407113224806</v>
      </c>
      <c r="N99" s="436">
        <f t="shared" si="21"/>
        <v>263382.36360417056</v>
      </c>
      <c r="O99" s="441">
        <f>(LOOKUP(2024,Lists!$A$10:$A$15,Lists!$D$10:$D$15))*Table14563[[#This Row],[Total Estimate - Current FY]]</f>
        <v>275497.9523299624</v>
      </c>
      <c r="P99" s="432">
        <f>(LOOKUP(2025,Lists!$A$10:$A$15,Lists!$D$10:$D$15))*Table14563[[#This Row],[Total Estimate - Current FY]]</f>
        <v>287068.86632782087</v>
      </c>
      <c r="Q99" s="432">
        <f>(LOOKUP(2026,Lists!$A$10:$A$15,Lists!$D$10:$D$15))*Table14563[[#This Row],[Total Estimate - Current FY]]</f>
        <v>298551.62098093366</v>
      </c>
      <c r="R99" s="432">
        <f>(LOOKUP(2027,Lists!$A$10:$A$15,Lists!$D$10:$D$15))*Table14563[[#This Row],[Total Estimate - Current FY]]</f>
        <v>310493.68582017103</v>
      </c>
      <c r="S99" s="433">
        <f>(LOOKUP(2028,Lists!$A$10:$A$15,Lists!$D$10:$D$15))*Table14563[[#This Row],[Total Estimate - Current FY]]</f>
        <v>323534.42062461819</v>
      </c>
    </row>
    <row r="100" spans="2:19" x14ac:dyDescent="0.25">
      <c r="B100" s="460" t="s">
        <v>315</v>
      </c>
      <c r="C100" s="469" t="s">
        <v>370</v>
      </c>
      <c r="D100" s="263" t="str">
        <f t="shared" si="19"/>
        <v>32P-Private</v>
      </c>
      <c r="E100" s="402" t="str">
        <f>_xlfn.XLOOKUP(D100,Table!D:D,Table!E:E)</f>
        <v>Local Canal - Direct Benefit</v>
      </c>
      <c r="F100" s="459">
        <f>_xlfn.XLOOKUP(D100,Table!D:D,Table!S:S)</f>
        <v>2032.6607069855409</v>
      </c>
      <c r="G100" s="334">
        <f>(AVERAGEIF(Table!F:F,E$94,Table!K:K))*F100</f>
        <v>1244.7860553879698</v>
      </c>
      <c r="H100" s="334">
        <f>(SUMIF(Table!F:F,E$94,Table!L:L))/(COUNTIF(Table!F:F,E$94))</f>
        <v>44972.662143807982</v>
      </c>
      <c r="I100" s="334">
        <f>(AVERAGEIF(Table!F:F,E$94,Table!AA:AA))*F100</f>
        <v>88858.098305162319</v>
      </c>
      <c r="J100" s="334">
        <f>(AVERAGEIF(Table!F:F,E$94,Table!AI:AI))*F100</f>
        <v>6575.4992745820118</v>
      </c>
      <c r="K100" s="334">
        <f>_xlfn.XLOOKUP(D100,Table!D:D,Table!AD:AD)</f>
        <v>12148.252521777948</v>
      </c>
      <c r="L100" s="334">
        <f t="shared" si="22"/>
        <v>15379.929830071826</v>
      </c>
      <c r="M100" s="334">
        <f t="shared" si="20"/>
        <v>7689.9649150359128</v>
      </c>
      <c r="N100" s="436">
        <f t="shared" si="21"/>
        <v>176869.19304582599</v>
      </c>
      <c r="O100" s="441">
        <f>(LOOKUP(2024,Lists!$A$10:$A$15,Lists!$D$10:$D$15))*Table14563[[#This Row],[Total Estimate - Current FY]]</f>
        <v>185005.17592593399</v>
      </c>
      <c r="P100" s="432">
        <f>(LOOKUP(2025,Lists!$A$10:$A$15,Lists!$D$10:$D$15))*Table14563[[#This Row],[Total Estimate - Current FY]]</f>
        <v>192775.39331482325</v>
      </c>
      <c r="Q100" s="432">
        <f>(LOOKUP(2026,Lists!$A$10:$A$15,Lists!$D$10:$D$15))*Table14563[[#This Row],[Total Estimate - Current FY]]</f>
        <v>200486.40904741615</v>
      </c>
      <c r="R100" s="432">
        <f>(LOOKUP(2027,Lists!$A$10:$A$15,Lists!$D$10:$D$15))*Table14563[[#This Row],[Total Estimate - Current FY]]</f>
        <v>208505.8654093128</v>
      </c>
      <c r="S100" s="433">
        <f>(LOOKUP(2028,Lists!$A$10:$A$15,Lists!$D$10:$D$15))*Table14563[[#This Row],[Total Estimate - Current FY]]</f>
        <v>217263.11175650393</v>
      </c>
    </row>
    <row r="101" spans="2:19" x14ac:dyDescent="0.25">
      <c r="B101" s="460">
        <v>33</v>
      </c>
      <c r="C101" s="469" t="s">
        <v>378</v>
      </c>
      <c r="D101" s="461" t="str">
        <f t="shared" si="19"/>
        <v>33-Access</v>
      </c>
      <c r="E101" s="462" t="str">
        <f>_xlfn.XLOOKUP(D101,Table!D:D,Table!E:E)</f>
        <v>Access Channel - General Benefit</v>
      </c>
      <c r="F101" s="463">
        <f>_xlfn.XLOOKUP(D101,Table!D:D,Table!S:S)</f>
        <v>218.64811725797759</v>
      </c>
      <c r="G101" s="334">
        <f>(AVERAGEIF(Table!F:F,E$94,Table!K:K))*F101</f>
        <v>133.8984546039637</v>
      </c>
      <c r="H101" s="334">
        <f>(SUMIF(Table!F:F,E$94,Table!L:L))/(COUNTIF(Table!F:F,E$94))</f>
        <v>44972.662143807982</v>
      </c>
      <c r="I101" s="334">
        <f>(AVERAGEIF(Table!F:F,E$94,Table!AA:AA))*F101</f>
        <v>9558.2385347335967</v>
      </c>
      <c r="J101" s="334">
        <f>(AVERAGEIF(Table!F:F,E$94,Table!AI:AI))*F101</f>
        <v>707.30965157028606</v>
      </c>
      <c r="K101" s="464">
        <f>_xlfn.XLOOKUP(D101,Table!D:D,Table!AD:AD)</f>
        <v>1690.0250353640613</v>
      </c>
      <c r="L101" s="464">
        <f t="shared" si="22"/>
        <v>5706.2133820079889</v>
      </c>
      <c r="M101" s="464">
        <f t="shared" si="20"/>
        <v>2853.1066910039945</v>
      </c>
      <c r="N101" s="432">
        <f t="shared" si="21"/>
        <v>65621.453893091864</v>
      </c>
      <c r="O101" s="441">
        <f>(LOOKUP(2024,Lists!$A$10:$A$15,Lists!$D$10:$D$15))*Table14563[[#This Row],[Total Estimate - Current FY]]</f>
        <v>68640.040772174092</v>
      </c>
      <c r="P101" s="432">
        <f>(LOOKUP(2025,Lists!$A$10:$A$15,Lists!$D$10:$D$15))*Table14563[[#This Row],[Total Estimate - Current FY]]</f>
        <v>71522.922484605413</v>
      </c>
      <c r="Q101" s="432">
        <f>(LOOKUP(2026,Lists!$A$10:$A$15,Lists!$D$10:$D$15))*Table14563[[#This Row],[Total Estimate - Current FY]]</f>
        <v>74383.839383989616</v>
      </c>
      <c r="R101" s="432">
        <f>(LOOKUP(2027,Lists!$A$10:$A$15,Lists!$D$10:$D$15))*Table14563[[#This Row],[Total Estimate - Current FY]]</f>
        <v>77359.19295934921</v>
      </c>
      <c r="S101" s="433">
        <f>(LOOKUP(2028,Lists!$A$10:$A$15,Lists!$D$10:$D$15))*Table14563[[#This Row],[Total Estimate - Current FY]]</f>
        <v>80608.279063641879</v>
      </c>
    </row>
    <row r="102" spans="2:19" x14ac:dyDescent="0.25">
      <c r="B102" s="460">
        <v>33</v>
      </c>
      <c r="C102" s="469" t="s">
        <v>655</v>
      </c>
      <c r="D102" s="461" t="str">
        <f t="shared" si="19"/>
        <v>33-Access.1</v>
      </c>
      <c r="E102" s="462" t="str">
        <f>_xlfn.XLOOKUP(D102,Table!D:D,Table!E:E)</f>
        <v>Access Channel - General Benefit</v>
      </c>
      <c r="F102" s="463">
        <f>_xlfn.XLOOKUP(D102,Table!D:D,Table!S:S)</f>
        <v>513.15374458504937</v>
      </c>
      <c r="G102" s="334">
        <f>(AVERAGEIF(Table!F:F,E$94,Table!K:K))*F102</f>
        <v>314.25147509093517</v>
      </c>
      <c r="H102" s="334">
        <f>(SUMIF(Table!F:F,E$94,Table!L:L))/(COUNTIF(Table!F:F,E$94))</f>
        <v>44972.662143807982</v>
      </c>
      <c r="I102" s="334">
        <f>(AVERAGEIF(Table!F:F,E$94,Table!AA:AA))*F102</f>
        <v>22432.600642742109</v>
      </c>
      <c r="J102" s="334">
        <f>(AVERAGEIF(Table!F:F,E$94,Table!AI:AI))*F102</f>
        <v>1660.0124475629159</v>
      </c>
      <c r="K102" s="464">
        <f>_xlfn.XLOOKUP(D102,Table!D:D,Table!AD:AD)</f>
        <v>3966.3852870789192</v>
      </c>
      <c r="L102" s="464">
        <f t="shared" si="22"/>
        <v>7334.5911996282848</v>
      </c>
      <c r="M102" s="464">
        <f t="shared" si="20"/>
        <v>3667.2955998141424</v>
      </c>
      <c r="N102" s="432">
        <f t="shared" si="21"/>
        <v>84347.798795725263</v>
      </c>
      <c r="O102" s="441">
        <f>(LOOKUP(2024,Lists!$A$10:$A$15,Lists!$D$10:$D$15))*Table14563[[#This Row],[Total Estimate - Current FY]]</f>
        <v>88227.797540328625</v>
      </c>
      <c r="P102" s="432">
        <f>(LOOKUP(2025,Lists!$A$10:$A$15,Lists!$D$10:$D$15))*Table14563[[#This Row],[Total Estimate - Current FY]]</f>
        <v>91933.365037022435</v>
      </c>
      <c r="Q102" s="432">
        <f>(LOOKUP(2026,Lists!$A$10:$A$15,Lists!$D$10:$D$15))*Table14563[[#This Row],[Total Estimate - Current FY]]</f>
        <v>95610.699638503327</v>
      </c>
      <c r="R102" s="432">
        <f>(LOOKUP(2027,Lists!$A$10:$A$15,Lists!$D$10:$D$15))*Table14563[[#This Row],[Total Estimate - Current FY]]</f>
        <v>99435.127624043467</v>
      </c>
      <c r="S102" s="433">
        <f>(LOOKUP(2028,Lists!$A$10:$A$15,Lists!$D$10:$D$15))*Table14563[[#This Row],[Total Estimate - Current FY]]</f>
        <v>103611.40298425329</v>
      </c>
    </row>
    <row r="103" spans="2:19" x14ac:dyDescent="0.25">
      <c r="B103" s="460">
        <v>33</v>
      </c>
      <c r="C103" s="469" t="s">
        <v>370</v>
      </c>
      <c r="D103" s="461" t="str">
        <f t="shared" si="19"/>
        <v>33-Private</v>
      </c>
      <c r="E103" s="462" t="str">
        <f>_xlfn.XLOOKUP(D103,Table!D:D,Table!E:E)</f>
        <v>Local Canal - Direct Benefit</v>
      </c>
      <c r="F103" s="463">
        <f>_xlfn.XLOOKUP(D103,Table!D:D,Table!S:S)</f>
        <v>467.78797875941461</v>
      </c>
      <c r="G103" s="334">
        <f>(AVERAGEIF(Table!F:F,E$94,Table!K:K))*F103</f>
        <v>286.46982294521484</v>
      </c>
      <c r="H103" s="334">
        <f>(SUMIF(Table!F:F,E$94,Table!L:L))/(COUNTIF(Table!F:F,E$94))</f>
        <v>44972.662143807982</v>
      </c>
      <c r="I103" s="334">
        <f>(AVERAGEIF(Table!F:F,E$94,Table!AA:AA))*F103</f>
        <v>20449.428701862013</v>
      </c>
      <c r="J103" s="334">
        <f>(AVERAGEIF(Table!F:F,E$94,Table!AI:AI))*F103</f>
        <v>1513.2577239377888</v>
      </c>
      <c r="K103" s="464">
        <f>_xlfn.XLOOKUP(D103,Table!D:D,Table!AD:AD)</f>
        <v>3615.7338341632467</v>
      </c>
      <c r="L103" s="464">
        <f t="shared" si="22"/>
        <v>7083.7552226716234</v>
      </c>
      <c r="M103" s="464">
        <f t="shared" si="20"/>
        <v>3541.8776113358117</v>
      </c>
      <c r="N103" s="432">
        <f t="shared" si="21"/>
        <v>81463.18506072367</v>
      </c>
      <c r="O103" s="441">
        <f>(LOOKUP(2024,Lists!$A$10:$A$15,Lists!$D$10:$D$15))*Table14563[[#This Row],[Total Estimate - Current FY]]</f>
        <v>85210.491573516963</v>
      </c>
      <c r="P103" s="432">
        <f>(LOOKUP(2025,Lists!$A$10:$A$15,Lists!$D$10:$D$15))*Table14563[[#This Row],[Total Estimate - Current FY]]</f>
        <v>88789.332219604679</v>
      </c>
      <c r="Q103" s="432">
        <f>(LOOKUP(2026,Lists!$A$10:$A$15,Lists!$D$10:$D$15))*Table14563[[#This Row],[Total Estimate - Current FY]]</f>
        <v>92340.905508388867</v>
      </c>
      <c r="R103" s="432">
        <f>(LOOKUP(2027,Lists!$A$10:$A$15,Lists!$D$10:$D$15))*Table14563[[#This Row],[Total Estimate - Current FY]]</f>
        <v>96034.54172872442</v>
      </c>
      <c r="S103" s="433">
        <f>(LOOKUP(2028,Lists!$A$10:$A$15,Lists!$D$10:$D$15))*Table14563[[#This Row],[Total Estimate - Current FY]]</f>
        <v>100067.99248133085</v>
      </c>
    </row>
    <row r="104" spans="2:19" x14ac:dyDescent="0.25">
      <c r="B104" s="460" t="s">
        <v>220</v>
      </c>
      <c r="C104" s="469" t="s">
        <v>378</v>
      </c>
      <c r="D104" s="461" t="str">
        <f t="shared" si="19"/>
        <v>33A-Access</v>
      </c>
      <c r="E104" s="462" t="str">
        <f>_xlfn.XLOOKUP(D104,Table!D:D,Table!E:E)</f>
        <v>Access Channel - General Benefit</v>
      </c>
      <c r="F104" s="463">
        <f>_xlfn.XLOOKUP(D104,Table!D:D,Table!S:S)</f>
        <v>854.39703737398065</v>
      </c>
      <c r="G104" s="334">
        <f>(AVERAGEIF(Table!F:F,E$94,Table!K:K))*F104</f>
        <v>523.22628869289724</v>
      </c>
      <c r="H104" s="334">
        <f>(SUMIF(Table!F:F,E$94,Table!L:L))/(COUNTIF(Table!F:F,E$94))</f>
        <v>44972.662143807982</v>
      </c>
      <c r="I104" s="334">
        <f>(AVERAGEIF(Table!F:F,E$94,Table!AA:AA))*F104</f>
        <v>37350.107510666152</v>
      </c>
      <c r="J104" s="334">
        <f>(AVERAGEIF(Table!F:F,E$94,Table!AI:AI))*F104</f>
        <v>2763.9079557892951</v>
      </c>
      <c r="K104" s="464">
        <f>_xlfn.XLOOKUP(D104,Table!D:D,Table!AD:AD)</f>
        <v>6261.8429494352677</v>
      </c>
      <c r="L104" s="464">
        <f t="shared" si="22"/>
        <v>9187.1746848391613</v>
      </c>
      <c r="M104" s="464">
        <f t="shared" si="20"/>
        <v>4593.5873424195806</v>
      </c>
      <c r="N104" s="432">
        <f t="shared" si="21"/>
        <v>105652.50887565034</v>
      </c>
      <c r="O104" s="441">
        <f>(LOOKUP(2024,Lists!$A$10:$A$15,Lists!$D$10:$D$15))*Table14563[[#This Row],[Total Estimate - Current FY]]</f>
        <v>110512.52428393025</v>
      </c>
      <c r="P104" s="432">
        <f>(LOOKUP(2025,Lists!$A$10:$A$15,Lists!$D$10:$D$15))*Table14563[[#This Row],[Total Estimate - Current FY]]</f>
        <v>115154.05030385534</v>
      </c>
      <c r="Q104" s="432">
        <f>(LOOKUP(2026,Lists!$A$10:$A$15,Lists!$D$10:$D$15))*Table14563[[#This Row],[Total Estimate - Current FY]]</f>
        <v>119760.21231600955</v>
      </c>
      <c r="R104" s="432">
        <f>(LOOKUP(2027,Lists!$A$10:$A$15,Lists!$D$10:$D$15))*Table14563[[#This Row],[Total Estimate - Current FY]]</f>
        <v>124550.62080864994</v>
      </c>
      <c r="S104" s="433">
        <f>(LOOKUP(2028,Lists!$A$10:$A$15,Lists!$D$10:$D$15))*Table14563[[#This Row],[Total Estimate - Current FY]]</f>
        <v>129781.74688261322</v>
      </c>
    </row>
    <row r="105" spans="2:19" x14ac:dyDescent="0.25">
      <c r="B105" s="460" t="s">
        <v>393</v>
      </c>
      <c r="C105" s="469" t="s">
        <v>378</v>
      </c>
      <c r="D105" s="461" t="str">
        <f t="shared" si="19"/>
        <v>33B-Access</v>
      </c>
      <c r="E105" s="462" t="str">
        <f>_xlfn.XLOOKUP(D105,Table!D:D,Table!E:E)</f>
        <v>Access Channel - General Benefit</v>
      </c>
      <c r="F105" s="463">
        <f>_xlfn.XLOOKUP(D105,Table!D:D,Table!S:S)</f>
        <v>4301.3510164320651</v>
      </c>
      <c r="G105" s="334">
        <f>(AVERAGEIF(Table!F:F,E$94,Table!K:K))*F105</f>
        <v>2634.1148555599011</v>
      </c>
      <c r="H105" s="334">
        <f>(SUMIF(Table!F:F,E$94,Table!L:L))/(COUNTIF(Table!F:F,E$94))</f>
        <v>44972.662143807982</v>
      </c>
      <c r="I105" s="334">
        <f>(AVERAGEIF(Table!F:F,E$94,Table!AA:AA))*F105</f>
        <v>188034.26963959564</v>
      </c>
      <c r="J105" s="334">
        <f>(AVERAGEIF(Table!F:F,E$94,Table!AI:AI))*F105</f>
        <v>13914.535953330078</v>
      </c>
      <c r="K105" s="464">
        <f>_xlfn.XLOOKUP(D105,Table!D:D,Table!AD:AD)</f>
        <v>15579.079988693311</v>
      </c>
      <c r="L105" s="464">
        <f t="shared" si="22"/>
        <v>26513.466258098691</v>
      </c>
      <c r="M105" s="464">
        <f t="shared" si="20"/>
        <v>13256.733129049346</v>
      </c>
      <c r="N105" s="432">
        <f t="shared" si="21"/>
        <v>304904.86196813494</v>
      </c>
      <c r="O105" s="441">
        <f>(LOOKUP(2024,Lists!$A$10:$A$15,Lists!$D$10:$D$15))*Table14563[[#This Row],[Total Estimate - Current FY]]</f>
        <v>318930.48561866913</v>
      </c>
      <c r="P105" s="432">
        <f>(LOOKUP(2025,Lists!$A$10:$A$15,Lists!$D$10:$D$15))*Table14563[[#This Row],[Total Estimate - Current FY]]</f>
        <v>332325.5660146533</v>
      </c>
      <c r="Q105" s="432">
        <f>(LOOKUP(2026,Lists!$A$10:$A$15,Lists!$D$10:$D$15))*Table14563[[#This Row],[Total Estimate - Current FY]]</f>
        <v>345618.58865523938</v>
      </c>
      <c r="R105" s="432">
        <f>(LOOKUP(2027,Lists!$A$10:$A$15,Lists!$D$10:$D$15))*Table14563[[#This Row],[Total Estimate - Current FY]]</f>
        <v>359443.33220144897</v>
      </c>
      <c r="S105" s="433">
        <f>(LOOKUP(2028,Lists!$A$10:$A$15,Lists!$D$10:$D$15))*Table14563[[#This Row],[Total Estimate - Current FY]]</f>
        <v>374539.95215390984</v>
      </c>
    </row>
    <row r="106" spans="2:19" x14ac:dyDescent="0.25">
      <c r="B106" s="460" t="s">
        <v>272</v>
      </c>
      <c r="C106" s="469" t="s">
        <v>378</v>
      </c>
      <c r="D106" s="461" t="str">
        <f t="shared" si="19"/>
        <v>33C-Access</v>
      </c>
      <c r="E106" s="462" t="str">
        <f>_xlfn.XLOOKUP(D106,Table!D:D,Table!E:E)</f>
        <v>Access Channel - General Benefit</v>
      </c>
      <c r="F106" s="463">
        <f>_xlfn.XLOOKUP(D106,Table!D:D,Table!S:S)</f>
        <v>1417.7361579486947</v>
      </c>
      <c r="G106" s="334">
        <f>(AVERAGEIF(Table!F:F,E$94,Table!K:K))*F106</f>
        <v>868.21090877042514</v>
      </c>
      <c r="H106" s="334">
        <f>(SUMIF(Table!F:F,E$94,Table!L:L))/(COUNTIF(Table!F:F,E$94))</f>
        <v>44972.662143807982</v>
      </c>
      <c r="I106" s="334">
        <f>(AVERAGEIF(Table!F:F,E$94,Table!AA:AA))*F106</f>
        <v>61976.570148106068</v>
      </c>
      <c r="J106" s="334">
        <f>(AVERAGEIF(Table!F:F,E$94,Table!AI:AI))*F106</f>
        <v>4586.2661909598492</v>
      </c>
      <c r="K106" s="464">
        <f>_xlfn.XLOOKUP(D106,Table!D:D,Table!AD:AD)</f>
        <v>5134.9041087714932</v>
      </c>
      <c r="L106" s="464">
        <f t="shared" si="22"/>
        <v>11753.861350041581</v>
      </c>
      <c r="M106" s="464">
        <f t="shared" si="20"/>
        <v>5876.9306750207907</v>
      </c>
      <c r="N106" s="432">
        <f t="shared" si="21"/>
        <v>135169.40552547819</v>
      </c>
      <c r="O106" s="441">
        <f>(LOOKUP(2024,Lists!$A$10:$A$15,Lists!$D$10:$D$15))*Table14563[[#This Row],[Total Estimate - Current FY]]</f>
        <v>141387.19817965018</v>
      </c>
      <c r="P106" s="432">
        <f>(LOOKUP(2025,Lists!$A$10:$A$15,Lists!$D$10:$D$15))*Table14563[[#This Row],[Total Estimate - Current FY]]</f>
        <v>147325.4605031955</v>
      </c>
      <c r="Q106" s="432">
        <f>(LOOKUP(2026,Lists!$A$10:$A$15,Lists!$D$10:$D$15))*Table14563[[#This Row],[Total Estimate - Current FY]]</f>
        <v>153218.47892332333</v>
      </c>
      <c r="R106" s="432">
        <f>(LOOKUP(2027,Lists!$A$10:$A$15,Lists!$D$10:$D$15))*Table14563[[#This Row],[Total Estimate - Current FY]]</f>
        <v>159347.21808025625</v>
      </c>
      <c r="S106" s="433">
        <f>(LOOKUP(2028,Lists!$A$10:$A$15,Lists!$D$10:$D$15))*Table14563[[#This Row],[Total Estimate - Current FY]]</f>
        <v>166039.80123962701</v>
      </c>
    </row>
    <row r="107" spans="2:19" x14ac:dyDescent="0.25">
      <c r="B107" s="460" t="s">
        <v>272</v>
      </c>
      <c r="C107" s="469" t="s">
        <v>676</v>
      </c>
      <c r="D107" s="461" t="str">
        <f t="shared" si="19"/>
        <v>33C-Private.1</v>
      </c>
      <c r="E107" s="462" t="str">
        <f>_xlfn.XLOOKUP(D107,Table!D:D,Table!E:E)</f>
        <v>Local Canal - Direct Benefit</v>
      </c>
      <c r="F107" s="463">
        <f>_xlfn.XLOOKUP(D107,Table!D:D,Table!S:S)</f>
        <v>746.42465821192502</v>
      </c>
      <c r="G107" s="334">
        <f>(AVERAGEIF(Table!F:F,E$94,Table!K:K))*F107</f>
        <v>457.10481968132274</v>
      </c>
      <c r="H107" s="334">
        <f>(SUMIF(Table!F:F,E$94,Table!L:L))/(COUNTIF(Table!F:F,E$94))</f>
        <v>44972.662143807982</v>
      </c>
      <c r="I107" s="334">
        <f>(AVERAGEIF(Table!F:F,E$94,Table!AA:AA))*F107</f>
        <v>32630.077134296778</v>
      </c>
      <c r="J107" s="334">
        <f>(AVERAGEIF(Table!F:F,E$94,Table!AI:AI))*F107</f>
        <v>2414.6257079379616</v>
      </c>
      <c r="K107" s="464">
        <f>_xlfn.XLOOKUP(D107,Table!D:D,Table!AD:AD)</f>
        <v>2954.0309102640904</v>
      </c>
      <c r="L107" s="464">
        <f t="shared" si="22"/>
        <v>8342.8500715988139</v>
      </c>
      <c r="M107" s="464">
        <f t="shared" si="20"/>
        <v>4171.4250357994069</v>
      </c>
      <c r="N107" s="432">
        <f t="shared" si="21"/>
        <v>95942.775823386357</v>
      </c>
      <c r="O107" s="441">
        <f>(LOOKUP(2024,Lists!$A$10:$A$15,Lists!$D$10:$D$15))*Table14563[[#This Row],[Total Estimate - Current FY]]</f>
        <v>100356.14351126214</v>
      </c>
      <c r="P107" s="432">
        <f>(LOOKUP(2025,Lists!$A$10:$A$15,Lists!$D$10:$D$15))*Table14563[[#This Row],[Total Estimate - Current FY]]</f>
        <v>104571.10153873515</v>
      </c>
      <c r="Q107" s="432">
        <f>(LOOKUP(2026,Lists!$A$10:$A$15,Lists!$D$10:$D$15))*Table14563[[#This Row],[Total Estimate - Current FY]]</f>
        <v>108753.94560028455</v>
      </c>
      <c r="R107" s="432">
        <f>(LOOKUP(2027,Lists!$A$10:$A$15,Lists!$D$10:$D$15))*Table14563[[#This Row],[Total Estimate - Current FY]]</f>
        <v>113104.10342429594</v>
      </c>
      <c r="S107" s="433">
        <f>(LOOKUP(2028,Lists!$A$10:$A$15,Lists!$D$10:$D$15))*Table14563[[#This Row],[Total Estimate - Current FY]]</f>
        <v>117854.47576811636</v>
      </c>
    </row>
    <row r="108" spans="2:19" x14ac:dyDescent="0.25">
      <c r="B108" s="460" t="s">
        <v>272</v>
      </c>
      <c r="C108" s="469" t="s">
        <v>677</v>
      </c>
      <c r="D108" s="461" t="str">
        <f t="shared" si="19"/>
        <v>33C-Private.2</v>
      </c>
      <c r="E108" s="462" t="str">
        <f>_xlfn.XLOOKUP(D108,Table!D:D,Table!E:E)</f>
        <v>Local Canal - Direct Benefit</v>
      </c>
      <c r="F108" s="463">
        <f>_xlfn.XLOOKUP(D108,Table!D:D,Table!S:S)</f>
        <v>745.93218234609355</v>
      </c>
      <c r="G108" s="334">
        <f>(AVERAGEIF(Table!F:F,E$94,Table!K:K))*F108</f>
        <v>456.80323118291011</v>
      </c>
      <c r="H108" s="334">
        <f>(SUMIF(Table!F:F,E$94,Table!L:L))/(COUNTIF(Table!F:F,E$94))</f>
        <v>44972.662143807982</v>
      </c>
      <c r="I108" s="334">
        <f>(AVERAGEIF(Table!F:F,E$94,Table!AA:AA))*F108</f>
        <v>32608.548470536723</v>
      </c>
      <c r="J108" s="334">
        <f>(AVERAGEIF(Table!F:F,E$94,Table!AI:AI))*F108</f>
        <v>2413.0325868197174</v>
      </c>
      <c r="K108" s="464">
        <f>_xlfn.XLOOKUP(D108,Table!D:D,Table!AD:AD)</f>
        <v>2882.8148137247508</v>
      </c>
      <c r="L108" s="464">
        <f t="shared" si="22"/>
        <v>8333.3861246072083</v>
      </c>
      <c r="M108" s="464">
        <f t="shared" si="20"/>
        <v>4166.6930623036042</v>
      </c>
      <c r="N108" s="432">
        <f t="shared" si="21"/>
        <v>95833.940432982883</v>
      </c>
      <c r="O108" s="441">
        <f>(LOOKUP(2024,Lists!$A$10:$A$15,Lists!$D$10:$D$15))*Table14563[[#This Row],[Total Estimate - Current FY]]</f>
        <v>100242.3016929001</v>
      </c>
      <c r="P108" s="432">
        <f>(LOOKUP(2025,Lists!$A$10:$A$15,Lists!$D$10:$D$15))*Table14563[[#This Row],[Total Estimate - Current FY]]</f>
        <v>104452.47836400192</v>
      </c>
      <c r="Q108" s="432">
        <f>(LOOKUP(2026,Lists!$A$10:$A$15,Lists!$D$10:$D$15))*Table14563[[#This Row],[Total Estimate - Current FY]]</f>
        <v>108630.57749856198</v>
      </c>
      <c r="R108" s="432">
        <f>(LOOKUP(2027,Lists!$A$10:$A$15,Lists!$D$10:$D$15))*Table14563[[#This Row],[Total Estimate - Current FY]]</f>
        <v>112975.80059850446</v>
      </c>
      <c r="S108" s="433">
        <f>(LOOKUP(2028,Lists!$A$10:$A$15,Lists!$D$10:$D$15))*Table14563[[#This Row],[Total Estimate - Current FY]]</f>
        <v>117720.78422364165</v>
      </c>
    </row>
    <row r="109" spans="2:19" x14ac:dyDescent="0.25">
      <c r="B109" s="460" t="s">
        <v>272</v>
      </c>
      <c r="C109" s="469" t="s">
        <v>678</v>
      </c>
      <c r="D109" s="461" t="str">
        <f t="shared" si="19"/>
        <v>33C-Private.3</v>
      </c>
      <c r="E109" s="462" t="str">
        <f>_xlfn.XLOOKUP(D109,Table!D:D,Table!E:E)</f>
        <v>Local Canal - Direct Benefit</v>
      </c>
      <c r="F109" s="463">
        <f>_xlfn.XLOOKUP(D109,Table!D:D,Table!S:S)</f>
        <v>769.7843747003102</v>
      </c>
      <c r="G109" s="334">
        <f>(AVERAGEIF(Table!F:F,E$94,Table!K:K))*F109</f>
        <v>471.41013352077857</v>
      </c>
      <c r="H109" s="334">
        <f>(SUMIF(Table!F:F,E$94,Table!L:L))/(COUNTIF(Table!F:F,E$94))</f>
        <v>44972.662143807982</v>
      </c>
      <c r="I109" s="334">
        <f>(AVERAGEIF(Table!F:F,E$94,Table!AA:AA))*F109</f>
        <v>33651.250996207033</v>
      </c>
      <c r="J109" s="334">
        <f>(AVERAGEIF(Table!F:F,E$94,Table!AI:AI))*F109</f>
        <v>2490.1925737193201</v>
      </c>
      <c r="K109" s="464">
        <f>_xlfn.XLOOKUP(D109,Table!D:D,Table!AD:AD)</f>
        <v>2820.8600032824552</v>
      </c>
      <c r="L109" s="464">
        <f t="shared" si="22"/>
        <v>8440.637585053757</v>
      </c>
      <c r="M109" s="464">
        <f t="shared" si="20"/>
        <v>4220.3187925268785</v>
      </c>
      <c r="N109" s="432">
        <f t="shared" si="21"/>
        <v>97067.332228118205</v>
      </c>
      <c r="O109" s="441">
        <f>(LOOKUP(2024,Lists!$A$10:$A$15,Lists!$D$10:$D$15))*Table14563[[#This Row],[Total Estimate - Current FY]]</f>
        <v>101532.42951061165</v>
      </c>
      <c r="P109" s="432">
        <f>(LOOKUP(2025,Lists!$A$10:$A$15,Lists!$D$10:$D$15))*Table14563[[#This Row],[Total Estimate - Current FY]]</f>
        <v>105796.79155005734</v>
      </c>
      <c r="Q109" s="432">
        <f>(LOOKUP(2026,Lists!$A$10:$A$15,Lists!$D$10:$D$15))*Table14563[[#This Row],[Total Estimate - Current FY]]</f>
        <v>110028.66321205963</v>
      </c>
      <c r="R109" s="432">
        <f>(LOOKUP(2027,Lists!$A$10:$A$15,Lists!$D$10:$D$15))*Table14563[[#This Row],[Total Estimate - Current FY]]</f>
        <v>114429.80974054203</v>
      </c>
      <c r="S109" s="433">
        <f>(LOOKUP(2028,Lists!$A$10:$A$15,Lists!$D$10:$D$15))*Table14563[[#This Row],[Total Estimate - Current FY]]</f>
        <v>119235.86174964478</v>
      </c>
    </row>
    <row r="110" spans="2:19" x14ac:dyDescent="0.25">
      <c r="B110" s="465" t="s">
        <v>272</v>
      </c>
      <c r="C110" s="470" t="s">
        <v>679</v>
      </c>
      <c r="D110" s="461" t="str">
        <f t="shared" si="19"/>
        <v>33C-Private.4</v>
      </c>
      <c r="E110" s="462" t="str">
        <f>_xlfn.XLOOKUP(D110,Table!D:D,Table!E:E)</f>
        <v>Local Canal - Direct Benefit</v>
      </c>
      <c r="F110" s="463">
        <f>_xlfn.XLOOKUP(D110,Table!D:D,Table!S:S)</f>
        <v>451.34397577535663</v>
      </c>
      <c r="G110" s="334">
        <f>(AVERAGEIF(Table!F:F,E$94,Table!K:K))*F110</f>
        <v>276.39963979120006</v>
      </c>
      <c r="H110" s="334">
        <f>(SUMIF(Table!F:F,E$94,Table!L:L))/(COUNTIF(Table!F:F,E$94))</f>
        <v>44972.662143807982</v>
      </c>
      <c r="I110" s="334">
        <f>(AVERAGEIF(Table!F:F,E$94,Table!AA:AA))*F110</f>
        <v>19730.576397261331</v>
      </c>
      <c r="J110" s="334">
        <f>(AVERAGEIF(Table!F:F,E$94,Table!AI:AI))*F110</f>
        <v>1460.0626533973384</v>
      </c>
      <c r="K110" s="464">
        <f>_xlfn.XLOOKUP(D110,Table!D:D,Table!AD:AD)</f>
        <v>1841.1436760923825</v>
      </c>
      <c r="L110" s="464">
        <f t="shared" si="22"/>
        <v>6828.0844510350234</v>
      </c>
      <c r="M110" s="464">
        <f t="shared" si="20"/>
        <v>3414.0422255175117</v>
      </c>
      <c r="N110" s="432">
        <f t="shared" si="21"/>
        <v>78522.971186902767</v>
      </c>
      <c r="O110" s="441">
        <f>(LOOKUP(2024,Lists!$A$10:$A$15,Lists!$D$10:$D$15))*Table14563[[#This Row],[Total Estimate - Current FY]]</f>
        <v>82135.027861500304</v>
      </c>
      <c r="P110" s="432">
        <f>(LOOKUP(2025,Lists!$A$10:$A$15,Lists!$D$10:$D$15))*Table14563[[#This Row],[Total Estimate - Current FY]]</f>
        <v>85584.699031683311</v>
      </c>
      <c r="Q110" s="432">
        <f>(LOOKUP(2026,Lists!$A$10:$A$15,Lists!$D$10:$D$15))*Table14563[[#This Row],[Total Estimate - Current FY]]</f>
        <v>89008.086992950644</v>
      </c>
      <c r="R110" s="432">
        <f>(LOOKUP(2027,Lists!$A$10:$A$15,Lists!$D$10:$D$15))*Table14563[[#This Row],[Total Estimate - Current FY]]</f>
        <v>92568.410472668678</v>
      </c>
      <c r="S110" s="433">
        <f>(LOOKUP(2028,Lists!$A$10:$A$15,Lists!$D$10:$D$15))*Table14563[[#This Row],[Total Estimate - Current FY]]</f>
        <v>96456.283712520759</v>
      </c>
    </row>
    <row r="111" spans="2:19" x14ac:dyDescent="0.25">
      <c r="B111" s="415"/>
      <c r="F111" s="407"/>
      <c r="G111" s="407"/>
      <c r="H111" s="407"/>
      <c r="I111" s="407"/>
      <c r="J111" s="407"/>
      <c r="K111" s="407"/>
      <c r="L111" s="407"/>
      <c r="M111" s="407"/>
      <c r="N111" s="407"/>
      <c r="O111" s="415"/>
      <c r="S111" s="434"/>
    </row>
    <row r="112" spans="2:19" x14ac:dyDescent="0.25">
      <c r="B112" s="481">
        <f>E94</f>
        <v>5</v>
      </c>
      <c r="C112" s="482"/>
      <c r="D112" s="483"/>
      <c r="E112" s="405" t="s">
        <v>651</v>
      </c>
      <c r="F112" s="425">
        <f>SUMIF(Table14563[Classification],$E$112,Table14563[Estimated Dredge Quantities])</f>
        <v>12592.193746275088</v>
      </c>
      <c r="G112" s="420">
        <f>SUMIF(Table14563[Classification],$E$112,Table14563[Insurance/Bonding])</f>
        <v>7711.3642863458608</v>
      </c>
      <c r="H112" s="420">
        <f>SUMIF(Table14563[Classification],$E$112,Table14563[Mob/Demob (LS)])</f>
        <v>359781.29715046386</v>
      </c>
      <c r="I112" s="420">
        <f>SUMIF(Table14563[Classification],$E$112,Table14563[Dredging &amp; Placement])</f>
        <v>550469.82801351568</v>
      </c>
      <c r="J112" s="420">
        <f>SUMIF(Table14563[Classification],$E$112,Table14563[Environmental Protection])</f>
        <v>40734.767273000165</v>
      </c>
      <c r="K112" s="420">
        <f>SUMIF(Table14563[Classification],$E$112,Table14563[Seagrass Transplanting &amp; Monitoring])</f>
        <v>68437.327484594833</v>
      </c>
      <c r="L112" s="420">
        <f>SUMIF(Table14563[Classification],$E$112,Table14563[Engineering Fees - Plans, Design &amp; Specs])</f>
        <v>102713.45842079206</v>
      </c>
      <c r="M112" s="420">
        <f>SUMIF(Table14563[Classification],$E$112,Table14563[Construction Administration])</f>
        <v>51356.729210396028</v>
      </c>
      <c r="N112" s="437">
        <f>SUMIF(Table14563[Classification],$E$112,Table14563[Total Estimate - Current FY])</f>
        <v>1181204.7718391083</v>
      </c>
      <c r="O112" s="447">
        <f>(LOOKUP(2024,Lists!$A$10:$A$15,Lists!$D$10:$D$15))*N112</f>
        <v>1235540.1913437073</v>
      </c>
      <c r="P112" s="448">
        <f>(LOOKUP(2025,Lists!$A$10:$A$15,Lists!$D$10:$D$15))*N112</f>
        <v>1287432.8793801432</v>
      </c>
      <c r="Q112" s="448">
        <f>(LOOKUP(2026,Lists!$A$10:$A$15,Lists!$D$10:$D$15))*N112</f>
        <v>1338930.1945553487</v>
      </c>
      <c r="R112" s="448">
        <f>(LOOKUP(2027,Lists!$A$10:$A$15,Lists!$D$10:$D$15))*N112</f>
        <v>1392487.4023375628</v>
      </c>
      <c r="S112" s="449">
        <f>(LOOKUP(2028,Lists!$A$10:$A$15,Lists!$D$10:$D$15))*N112</f>
        <v>1450971.8732357405</v>
      </c>
    </row>
    <row r="113" spans="2:19" hidden="1" x14ac:dyDescent="0.25">
      <c r="B113" s="484"/>
      <c r="C113" s="485"/>
      <c r="D113" s="486"/>
      <c r="E113" s="402" t="s">
        <v>689</v>
      </c>
      <c r="F113" s="426">
        <f>SUMIF(Table14563[Classification],$E$113,Table14563[Estimated Dredge Quantities])</f>
        <v>0</v>
      </c>
      <c r="G113" s="422">
        <f>SUMIF(Table14563[Classification],$E$113,Table14563[Insurance/Bonding])</f>
        <v>0</v>
      </c>
      <c r="H113" s="422">
        <f>SUMIF(Table14563[Classification],$E$113,Table14563[Mob/Demob (LS)])</f>
        <v>0</v>
      </c>
      <c r="I113" s="422">
        <f>SUMIF(Table14563[Classification],$E$113,Table14563[Dredging &amp; Placement])</f>
        <v>0</v>
      </c>
      <c r="J113" s="422">
        <f>SUMIF(Table14563[Classification],$E$113,Table14563[Environmental Protection])</f>
        <v>0</v>
      </c>
      <c r="K113" s="422">
        <f>SUMIF(Table14563[Classification],$E$113,Table14563[Seagrass Transplanting &amp; Monitoring])</f>
        <v>0</v>
      </c>
      <c r="L113" s="422">
        <f>SUMIF(Table14563[Classification],$E$113,Table14563[Engineering Fees - Plans, Design &amp; Specs])</f>
        <v>0</v>
      </c>
      <c r="M113" s="422">
        <f>SUMIF(Table14563[Classification],$E$113,Table14563[Construction Administration])</f>
        <v>0</v>
      </c>
      <c r="N113" s="438">
        <f>SUMIF(Table14563[Classification],$E$113,Table14563[Total Estimate - Current FY])</f>
        <v>0</v>
      </c>
      <c r="O113" s="450">
        <f>(LOOKUP(2024,Lists!$A$10:$A$15,Lists!$D$10:$D$15))*N113</f>
        <v>0</v>
      </c>
      <c r="P113" s="451">
        <f>(LOOKUP(2025,Lists!$A$10:$A$15,Lists!$D$10:$D$15))*N113</f>
        <v>0</v>
      </c>
      <c r="Q113" s="451">
        <f>(LOOKUP(2026,Lists!$A$10:$A$15,Lists!$D$10:$D$15))*N113</f>
        <v>0</v>
      </c>
      <c r="R113" s="451">
        <f>(LOOKUP(2027,Lists!$A$10:$A$15,Lists!$D$10:$D$15))*N113</f>
        <v>0</v>
      </c>
      <c r="S113" s="452">
        <f>(LOOKUP(2028,Lists!$A$10:$A$15,Lists!$D$10:$D$15))*N113</f>
        <v>0</v>
      </c>
    </row>
    <row r="114" spans="2:19" ht="15.75" thickBot="1" x14ac:dyDescent="0.3">
      <c r="B114" s="487"/>
      <c r="C114" s="488"/>
      <c r="D114" s="489"/>
      <c r="E114" s="418" t="s">
        <v>650</v>
      </c>
      <c r="F114" s="435">
        <f>SUMIF(Table14563[Classification],$E$114,Table14563[Estimated Dredge Quantities])</f>
        <v>5969.2349363314643</v>
      </c>
      <c r="G114" s="424">
        <f>SUMIF(Table14563[Classification],$E$114,Table14563[Insurance/Bonding])</f>
        <v>3655.514363289632</v>
      </c>
      <c r="H114" s="424">
        <f>SUMIF(Table14563[Classification],$E$114,Table14563[Mob/Demob (LS)])</f>
        <v>314808.63500665588</v>
      </c>
      <c r="I114" s="424">
        <f>SUMIF(Table14563[Classification],$E$114,Table14563[Dredging &amp; Placement])</f>
        <v>260946.09048932814</v>
      </c>
      <c r="J114" s="424">
        <f>SUMIF(Table14563[Classification],$E$114,Table14563[Environmental Protection])</f>
        <v>19310.01069621028</v>
      </c>
      <c r="K114" s="424">
        <f>SUMIF(Table14563[Classification],$E$114,Table14563[Seagrass Transplanting &amp; Monitoring])</f>
        <v>32241.155612293387</v>
      </c>
      <c r="L114" s="424">
        <f>SUMIF(Table14563[Classification],$E$114,Table14563[Engineering Fees - Plans, Design &amp; Specs])</f>
        <v>63096.140616777724</v>
      </c>
      <c r="M114" s="424">
        <f>SUMIF(Table14563[Classification],$E$114,Table14563[Construction Administration])</f>
        <v>31548.070308388862</v>
      </c>
      <c r="N114" s="439">
        <f>SUMIF(Table14563[Classification],$E$114,Table14563[Total Estimate - Current FY])</f>
        <v>725605.61709294387</v>
      </c>
      <c r="O114" s="453">
        <f>(LOOKUP(2024,Lists!$A$10:$A$15,Lists!$D$10:$D$15))*N114</f>
        <v>758983.47547921934</v>
      </c>
      <c r="P114" s="454">
        <f>(LOOKUP(2025,Lists!$A$10:$A$15,Lists!$D$10:$D$15))*N114</f>
        <v>790860.78144934657</v>
      </c>
      <c r="Q114" s="454">
        <f>(LOOKUP(2026,Lists!$A$10:$A$15,Lists!$D$10:$D$15))*N114</f>
        <v>822495.21270732046</v>
      </c>
      <c r="R114" s="454">
        <f>(LOOKUP(2027,Lists!$A$10:$A$15,Lists!$D$10:$D$15))*N114</f>
        <v>855395.02121561323</v>
      </c>
      <c r="S114" s="455">
        <f>(LOOKUP(2028,Lists!$A$10:$A$15,Lists!$D$10:$D$15))*N114</f>
        <v>891321.612106669</v>
      </c>
    </row>
    <row r="115" spans="2:19" ht="15.75" thickBot="1" x14ac:dyDescent="0.3"/>
    <row r="116" spans="2:19" x14ac:dyDescent="0.25">
      <c r="B116" s="410" t="s">
        <v>652</v>
      </c>
      <c r="C116" s="411"/>
      <c r="D116" s="411"/>
      <c r="E116" s="467">
        <v>6</v>
      </c>
      <c r="F116" s="412"/>
      <c r="G116" s="412"/>
      <c r="H116" s="412"/>
      <c r="I116" s="412"/>
      <c r="J116" s="412"/>
      <c r="K116" s="412"/>
      <c r="L116" s="412"/>
      <c r="M116" s="413"/>
      <c r="N116" s="412"/>
      <c r="O116" s="490" t="s">
        <v>681</v>
      </c>
      <c r="P116" s="491"/>
      <c r="Q116" s="491"/>
      <c r="R116" s="491"/>
      <c r="S116" s="492"/>
    </row>
    <row r="117" spans="2:19" ht="30" x14ac:dyDescent="0.25">
      <c r="B117" s="415" t="s">
        <v>653</v>
      </c>
      <c r="C117" s="263" t="s">
        <v>674</v>
      </c>
      <c r="D117" s="263" t="s">
        <v>675</v>
      </c>
      <c r="E117" s="402" t="s">
        <v>649</v>
      </c>
      <c r="F117" s="401" t="s">
        <v>632</v>
      </c>
      <c r="G117" s="401" t="s">
        <v>594</v>
      </c>
      <c r="H117" s="401" t="s">
        <v>596</v>
      </c>
      <c r="I117" s="401" t="s">
        <v>669</v>
      </c>
      <c r="J117" s="401" t="s">
        <v>415</v>
      </c>
      <c r="K117" s="401" t="s">
        <v>668</v>
      </c>
      <c r="L117" s="401" t="s">
        <v>617</v>
      </c>
      <c r="M117" s="401" t="s">
        <v>618</v>
      </c>
      <c r="N117" s="401" t="s">
        <v>680</v>
      </c>
      <c r="O117" s="440" t="s">
        <v>682</v>
      </c>
      <c r="P117" s="401" t="s">
        <v>683</v>
      </c>
      <c r="Q117" s="401" t="s">
        <v>684</v>
      </c>
      <c r="R117" s="401" t="s">
        <v>685</v>
      </c>
      <c r="S117" s="430" t="s">
        <v>686</v>
      </c>
    </row>
    <row r="118" spans="2:19" x14ac:dyDescent="0.25">
      <c r="B118" s="415">
        <v>34</v>
      </c>
      <c r="C118" s="458" t="s">
        <v>370</v>
      </c>
      <c r="D118" s="263" t="str">
        <f>B118&amp;"-"&amp;C118</f>
        <v>34-Private</v>
      </c>
      <c r="E118" s="402" t="str">
        <f>_xlfn.XLOOKUP(D118,Table!D:D,Table!E:E)</f>
        <v>Local Canal - Direct Benefit</v>
      </c>
      <c r="F118" s="406">
        <f>_xlfn.XLOOKUP(D118,Table!D:D,Table!S:S)</f>
        <v>918.65176617127929</v>
      </c>
      <c r="G118" s="334">
        <f>(AVERAGEIF(Table!F:F,E$116,Table!K:K))*F118</f>
        <v>575.77247483435531</v>
      </c>
      <c r="H118" s="334">
        <f>(SUMIF(Table!F:F,E$116,Table!L:L))/(COUNTIF(Table!F:F,E$116))</f>
        <v>32123.330102719992</v>
      </c>
      <c r="I118" s="334">
        <f>(AVERAGEIF(Table!F:F,E$116,Table!AA:AA))*F118</f>
        <v>41101.076726226471</v>
      </c>
      <c r="J118" s="334">
        <f>(AVERAGEIF(Table!F:F,E$116,Table!AI:AI))*F118</f>
        <v>3041.4796777407596</v>
      </c>
      <c r="K118" s="334">
        <f>_xlfn.XLOOKUP(D118,Table!D:D,Table!AD:AD)</f>
        <v>6732.7633797353155</v>
      </c>
      <c r="L118" s="334">
        <f>SUM(G118:K118)*0.1</f>
        <v>8357.4422361256893</v>
      </c>
      <c r="M118" s="334">
        <f>SUM(G118:K118)*0.05</f>
        <v>4178.7211180628447</v>
      </c>
      <c r="N118" s="436">
        <f t="shared" ref="N118:N138" si="23">SUM(G118:M118)</f>
        <v>96110.585715445428</v>
      </c>
      <c r="O118" s="441">
        <f>(LOOKUP(2024,Lists!$A$10:$A$15,Lists!$D$10:$D$15))*Table1478[[#This Row],[Total Estimate - Current FY]]</f>
        <v>100531.67265835592</v>
      </c>
      <c r="P118" s="432">
        <f>(LOOKUP(2025,Lists!$A$10:$A$15,Lists!$D$10:$D$15))*Table1478[[#This Row],[Total Estimate - Current FY]]</f>
        <v>104754.00291000688</v>
      </c>
      <c r="Q118" s="432">
        <f>(LOOKUP(2026,Lists!$A$10:$A$15,Lists!$D$10:$D$15))*Table1478[[#This Row],[Total Estimate - Current FY]]</f>
        <v>108944.16302640714</v>
      </c>
      <c r="R118" s="432">
        <f>(LOOKUP(2027,Lists!$A$10:$A$15,Lists!$D$10:$D$15))*Table1478[[#This Row],[Total Estimate - Current FY]]</f>
        <v>113301.92954746344</v>
      </c>
      <c r="S118" s="433">
        <f>(LOOKUP(2028,Lists!$A$10:$A$15,Lists!$D$10:$D$15))*Table1478[[#This Row],[Total Estimate - Current FY]]</f>
        <v>118060.6105884569</v>
      </c>
    </row>
    <row r="119" spans="2:19" x14ac:dyDescent="0.25">
      <c r="B119" s="415">
        <v>35</v>
      </c>
      <c r="C119" s="458" t="s">
        <v>370</v>
      </c>
      <c r="D119" s="263" t="str">
        <f t="shared" ref="D119:D129" si="24">B119&amp;"-"&amp;C119</f>
        <v>35-Private</v>
      </c>
      <c r="E119" s="402" t="str">
        <f>_xlfn.XLOOKUP(D119,Table!D:D,Table!E:E)</f>
        <v>Local Canal - Direct Benefit</v>
      </c>
      <c r="F119" s="406">
        <f>_xlfn.XLOOKUP(D119,Table!D:D,Table!S:S)</f>
        <v>851.1273691411061</v>
      </c>
      <c r="G119" s="334">
        <f>(AVERAGEIF(Table!F:F,E$116,Table!K:K))*F119</f>
        <v>533.45100915884962</v>
      </c>
      <c r="H119" s="334">
        <f>(SUMIF(Table!F:F,E$116,Table!L:L))/(COUNTIF(Table!F:F,E$116))</f>
        <v>32123.330102719992</v>
      </c>
      <c r="I119" s="334">
        <f>(AVERAGEIF(Table!F:F,E$116,Table!AA:AA))*F119</f>
        <v>38079.991342810492</v>
      </c>
      <c r="J119" s="334">
        <f>(AVERAGEIF(Table!F:F,E$116,Table!AI:AI))*F119</f>
        <v>2817.919359367977</v>
      </c>
      <c r="K119" s="334">
        <f>_xlfn.XLOOKUP(D119,Table!D:D,Table!AD:AD)</f>
        <v>6190.0520144485263</v>
      </c>
      <c r="L119" s="334">
        <f t="shared" ref="L119:L129" si="25">SUM(G119:K119)*0.1</f>
        <v>7974.4743828505834</v>
      </c>
      <c r="M119" s="334">
        <f t="shared" ref="M119:M129" si="26">SUM(G119:K119)*0.05</f>
        <v>3987.2371914252917</v>
      </c>
      <c r="N119" s="436">
        <f t="shared" si="23"/>
        <v>91706.455402781707</v>
      </c>
      <c r="O119" s="441">
        <f>(LOOKUP(2024,Lists!$A$10:$A$15,Lists!$D$10:$D$15))*Table1478[[#This Row],[Total Estimate - Current FY]]</f>
        <v>95924.952351309665</v>
      </c>
      <c r="P119" s="432">
        <f>(LOOKUP(2025,Lists!$A$10:$A$15,Lists!$D$10:$D$15))*Table1478[[#This Row],[Total Estimate - Current FY]]</f>
        <v>99953.800350064688</v>
      </c>
      <c r="Q119" s="432">
        <f>(LOOKUP(2026,Lists!$A$10:$A$15,Lists!$D$10:$D$15))*Table1478[[#This Row],[Total Estimate - Current FY]]</f>
        <v>103951.95236406727</v>
      </c>
      <c r="R119" s="432">
        <f>(LOOKUP(2027,Lists!$A$10:$A$15,Lists!$D$10:$D$15))*Table1478[[#This Row],[Total Estimate - Current FY]]</f>
        <v>108110.03045862996</v>
      </c>
      <c r="S119" s="433">
        <f>(LOOKUP(2028,Lists!$A$10:$A$15,Lists!$D$10:$D$15))*Table1478[[#This Row],[Total Estimate - Current FY]]</f>
        <v>112650.65173789242</v>
      </c>
    </row>
    <row r="120" spans="2:19" x14ac:dyDescent="0.25">
      <c r="B120" s="415">
        <v>36</v>
      </c>
      <c r="C120" s="458" t="s">
        <v>370</v>
      </c>
      <c r="D120" s="263" t="str">
        <f t="shared" si="24"/>
        <v>36-Private</v>
      </c>
      <c r="E120" s="402" t="str">
        <f>_xlfn.XLOOKUP(D120,Table!D:D,Table!E:E)</f>
        <v>Local Canal - Direct Benefit</v>
      </c>
      <c r="F120" s="406">
        <f>_xlfn.XLOOKUP(D120,Table!D:D,Table!S:S)</f>
        <v>883.66156732126524</v>
      </c>
      <c r="G120" s="334">
        <f>(AVERAGEIF(Table!F:F,E$116,Table!K:K))*F120</f>
        <v>553.84208278734036</v>
      </c>
      <c r="H120" s="334">
        <f>(SUMIF(Table!F:F,E$116,Table!L:L))/(COUNTIF(Table!F:F,E$116))</f>
        <v>32123.330102719992</v>
      </c>
      <c r="I120" s="334">
        <f>(AVERAGEIF(Table!F:F,E$116,Table!AA:AA))*F120</f>
        <v>39535.592501889594</v>
      </c>
      <c r="J120" s="334">
        <f>(AVERAGEIF(Table!F:F,E$116,Table!AI:AI))*F120</f>
        <v>2925.6338451398306</v>
      </c>
      <c r="K120" s="334">
        <f>_xlfn.XLOOKUP(D120,Table!D:D,Table!AD:AD)</f>
        <v>6476.3215612550921</v>
      </c>
      <c r="L120" s="334">
        <f t="shared" si="25"/>
        <v>8161.4720093791875</v>
      </c>
      <c r="M120" s="334">
        <f t="shared" si="26"/>
        <v>4080.7360046895938</v>
      </c>
      <c r="N120" s="436">
        <f t="shared" si="23"/>
        <v>93856.928107860644</v>
      </c>
      <c r="O120" s="441">
        <f>(LOOKUP(2024,Lists!$A$10:$A$15,Lists!$D$10:$D$15))*Table1478[[#This Row],[Total Estimate - Current FY]]</f>
        <v>98174.346800822241</v>
      </c>
      <c r="P120" s="432">
        <f>(LOOKUP(2025,Lists!$A$10:$A$15,Lists!$D$10:$D$15))*Table1478[[#This Row],[Total Estimate - Current FY]]</f>
        <v>102297.66936645677</v>
      </c>
      <c r="Q120" s="432">
        <f>(LOOKUP(2026,Lists!$A$10:$A$15,Lists!$D$10:$D$15))*Table1478[[#This Row],[Total Estimate - Current FY]]</f>
        <v>106389.57614111505</v>
      </c>
      <c r="R120" s="432">
        <f>(LOOKUP(2027,Lists!$A$10:$A$15,Lists!$D$10:$D$15))*Table1478[[#This Row],[Total Estimate - Current FY]]</f>
        <v>110645.15918675964</v>
      </c>
      <c r="S120" s="433">
        <f>(LOOKUP(2028,Lists!$A$10:$A$15,Lists!$D$10:$D$15))*Table1478[[#This Row],[Total Estimate - Current FY]]</f>
        <v>115292.25587260355</v>
      </c>
    </row>
    <row r="121" spans="2:19" x14ac:dyDescent="0.25">
      <c r="B121" s="415">
        <v>37</v>
      </c>
      <c r="C121" s="458" t="s">
        <v>370</v>
      </c>
      <c r="D121" s="263" t="str">
        <f t="shared" si="24"/>
        <v>37-Private</v>
      </c>
      <c r="E121" s="402" t="str">
        <f>_xlfn.XLOOKUP(D121,Table!D:D,Table!E:E)</f>
        <v>Local Canal - Direct Benefit</v>
      </c>
      <c r="F121" s="406">
        <f>_xlfn.XLOOKUP(D121,Table!D:D,Table!S:S)</f>
        <v>893.14287517440334</v>
      </c>
      <c r="G121" s="334">
        <f>(AVERAGEIF(Table!F:F,E$116,Table!K:K))*F121</f>
        <v>559.78456968857381</v>
      </c>
      <c r="H121" s="334">
        <f>(SUMIF(Table!F:F,E$116,Table!L:L))/(COUNTIF(Table!F:F,E$116))</f>
        <v>32123.330102719992</v>
      </c>
      <c r="I121" s="334">
        <f>(AVERAGEIF(Table!F:F,E$116,Table!AA:AA))*F121</f>
        <v>39959.792373796387</v>
      </c>
      <c r="J121" s="334">
        <f>(AVERAGEIF(Table!F:F,E$116,Table!AI:AI))*F121</f>
        <v>2957.0246356609332</v>
      </c>
      <c r="K121" s="334">
        <f>_xlfn.XLOOKUP(D121,Table!D:D,Table!AD:AD)</f>
        <v>6520.9673473367047</v>
      </c>
      <c r="L121" s="334">
        <f t="shared" si="25"/>
        <v>8212.0899029202592</v>
      </c>
      <c r="M121" s="334">
        <f t="shared" si="26"/>
        <v>4106.0449514601296</v>
      </c>
      <c r="N121" s="436">
        <f t="shared" si="23"/>
        <v>94439.033883582975</v>
      </c>
      <c r="O121" s="441">
        <f>(LOOKUP(2024,Lists!$A$10:$A$15,Lists!$D$10:$D$15))*Table1478[[#This Row],[Total Estimate - Current FY]]</f>
        <v>98783.229442227792</v>
      </c>
      <c r="P121" s="432">
        <f>(LOOKUP(2025,Lists!$A$10:$A$15,Lists!$D$10:$D$15))*Table1478[[#This Row],[Total Estimate - Current FY]]</f>
        <v>102932.12507880137</v>
      </c>
      <c r="Q121" s="432">
        <f>(LOOKUP(2026,Lists!$A$10:$A$15,Lists!$D$10:$D$15))*Table1478[[#This Row],[Total Estimate - Current FY]]</f>
        <v>107049.41008195342</v>
      </c>
      <c r="R121" s="432">
        <f>(LOOKUP(2027,Lists!$A$10:$A$15,Lists!$D$10:$D$15))*Table1478[[#This Row],[Total Estimate - Current FY]]</f>
        <v>111331.38648523156</v>
      </c>
      <c r="S121" s="433">
        <f>(LOOKUP(2028,Lists!$A$10:$A$15,Lists!$D$10:$D$15))*Table1478[[#This Row],[Total Estimate - Current FY]]</f>
        <v>116007.30471761129</v>
      </c>
    </row>
    <row r="122" spans="2:19" x14ac:dyDescent="0.25">
      <c r="B122" s="415">
        <v>38</v>
      </c>
      <c r="C122" s="458" t="s">
        <v>370</v>
      </c>
      <c r="D122" s="263" t="str">
        <f t="shared" si="24"/>
        <v>38-Private</v>
      </c>
      <c r="E122" s="402" t="str">
        <f>_xlfn.XLOOKUP(D122,Table!D:D,Table!E:E)</f>
        <v>Local Canal - Direct Benefit</v>
      </c>
      <c r="F122" s="406">
        <f>_xlfn.XLOOKUP(D122,Table!D:D,Table!S:S)</f>
        <v>896.19194660056792</v>
      </c>
      <c r="G122" s="334">
        <f>(AVERAGEIF(Table!F:F,E$116,Table!K:K))*F122</f>
        <v>561.69560003286438</v>
      </c>
      <c r="H122" s="334">
        <f>(SUMIF(Table!F:F,E$116,Table!L:L))/(COUNTIF(Table!F:F,E$116))</f>
        <v>32123.330102719992</v>
      </c>
      <c r="I122" s="334">
        <f>(AVERAGEIF(Table!F:F,E$116,Table!AA:AA))*F122</f>
        <v>40096.209809918932</v>
      </c>
      <c r="J122" s="334">
        <f>(AVERAGEIF(Table!F:F,E$116,Table!AI:AI))*F122</f>
        <v>2967.1195259340016</v>
      </c>
      <c r="K122" s="334">
        <f>_xlfn.XLOOKUP(D122,Table!D:D,Table!AD:AD)</f>
        <v>6491.8421993349657</v>
      </c>
      <c r="L122" s="334">
        <f t="shared" si="25"/>
        <v>8224.0197237940756</v>
      </c>
      <c r="M122" s="334">
        <f t="shared" si="26"/>
        <v>4112.0098618970378</v>
      </c>
      <c r="N122" s="436">
        <f t="shared" si="23"/>
        <v>94576.226823631863</v>
      </c>
      <c r="O122" s="441">
        <f>(LOOKUP(2024,Lists!$A$10:$A$15,Lists!$D$10:$D$15))*Table1478[[#This Row],[Total Estimate - Current FY]]</f>
        <v>98926.733257518936</v>
      </c>
      <c r="P122" s="432">
        <f>(LOOKUP(2025,Lists!$A$10:$A$15,Lists!$D$10:$D$15))*Table1478[[#This Row],[Total Estimate - Current FY]]</f>
        <v>103081.65605433473</v>
      </c>
      <c r="Q122" s="432">
        <f>(LOOKUP(2026,Lists!$A$10:$A$15,Lists!$D$10:$D$15))*Table1478[[#This Row],[Total Estimate - Current FY]]</f>
        <v>107204.92229650813</v>
      </c>
      <c r="R122" s="432">
        <f>(LOOKUP(2027,Lists!$A$10:$A$15,Lists!$D$10:$D$15))*Table1478[[#This Row],[Total Estimate - Current FY]]</f>
        <v>111493.11918836845</v>
      </c>
      <c r="S122" s="433">
        <f>(LOOKUP(2028,Lists!$A$10:$A$15,Lists!$D$10:$D$15))*Table1478[[#This Row],[Total Estimate - Current FY]]</f>
        <v>116175.83019427992</v>
      </c>
    </row>
    <row r="123" spans="2:19" x14ac:dyDescent="0.25">
      <c r="B123" s="415">
        <v>39</v>
      </c>
      <c r="C123" s="458" t="s">
        <v>370</v>
      </c>
      <c r="D123" s="263" t="str">
        <f t="shared" si="24"/>
        <v>39-Private</v>
      </c>
      <c r="E123" s="402" t="str">
        <f>_xlfn.XLOOKUP(D123,Table!D:D,Table!E:E)</f>
        <v>Local Canal - Direct Benefit</v>
      </c>
      <c r="F123" s="406">
        <f>_xlfn.XLOOKUP(D123,Table!D:D,Table!S:S)</f>
        <v>901.40370878779709</v>
      </c>
      <c r="G123" s="334">
        <f>(AVERAGEIF(Table!F:F,E$116,Table!K:K))*F123</f>
        <v>564.96211442198444</v>
      </c>
      <c r="H123" s="334">
        <f>(SUMIF(Table!F:F,E$116,Table!L:L))/(COUNTIF(Table!F:F,E$116))</f>
        <v>32123.330102719992</v>
      </c>
      <c r="I123" s="334">
        <f>(AVERAGEIF(Table!F:F,E$116,Table!AA:AA))*F123</f>
        <v>40329.387435461329</v>
      </c>
      <c r="J123" s="334">
        <f>(AVERAGEIF(Table!F:F,E$116,Table!AI:AI))*F123</f>
        <v>2984.3746702241392</v>
      </c>
      <c r="K123" s="334">
        <f>_xlfn.XLOOKUP(D123,Table!D:D,Table!AD:AD)</f>
        <v>6475.7467228076903</v>
      </c>
      <c r="L123" s="334">
        <f t="shared" si="25"/>
        <v>8247.7801045635133</v>
      </c>
      <c r="M123" s="334">
        <f t="shared" si="26"/>
        <v>4123.8900522817567</v>
      </c>
      <c r="N123" s="436">
        <f t="shared" si="23"/>
        <v>94849.471202480403</v>
      </c>
      <c r="O123" s="441">
        <f>(LOOKUP(2024,Lists!$A$10:$A$15,Lists!$D$10:$D$15))*Table1478[[#This Row],[Total Estimate - Current FY]]</f>
        <v>99212.546877794506</v>
      </c>
      <c r="P123" s="432">
        <f>(LOOKUP(2025,Lists!$A$10:$A$15,Lists!$D$10:$D$15))*Table1478[[#This Row],[Total Estimate - Current FY]]</f>
        <v>103379.47384666189</v>
      </c>
      <c r="Q123" s="432">
        <f>(LOOKUP(2026,Lists!$A$10:$A$15,Lists!$D$10:$D$15))*Table1478[[#This Row],[Total Estimate - Current FY]]</f>
        <v>107514.65280052835</v>
      </c>
      <c r="R123" s="432">
        <f>(LOOKUP(2027,Lists!$A$10:$A$15,Lists!$D$10:$D$15))*Table1478[[#This Row],[Total Estimate - Current FY]]</f>
        <v>111815.2389125495</v>
      </c>
      <c r="S123" s="433">
        <f>(LOOKUP(2028,Lists!$A$10:$A$15,Lists!$D$10:$D$15))*Table1478[[#This Row],[Total Estimate - Current FY]]</f>
        <v>116511.47894687657</v>
      </c>
    </row>
    <row r="124" spans="2:19" x14ac:dyDescent="0.25">
      <c r="B124" s="415">
        <v>40</v>
      </c>
      <c r="C124" s="458" t="s">
        <v>370</v>
      </c>
      <c r="D124" s="263" t="str">
        <f t="shared" si="24"/>
        <v>40-Private</v>
      </c>
      <c r="E124" s="402" t="str">
        <f>_xlfn.XLOOKUP(D124,Table!D:D,Table!E:E)</f>
        <v>Local Canal - Direct Benefit</v>
      </c>
      <c r="F124" s="406">
        <f>_xlfn.XLOOKUP(D124,Table!D:D,Table!S:S)</f>
        <v>907.99651395857973</v>
      </c>
      <c r="G124" s="334">
        <f>(AVERAGEIF(Table!F:F,E$116,Table!K:K))*F124</f>
        <v>569.09420874658679</v>
      </c>
      <c r="H124" s="334">
        <f>(SUMIF(Table!F:F,E$116,Table!L:L))/(COUNTIF(Table!F:F,E$116))</f>
        <v>32123.330102719992</v>
      </c>
      <c r="I124" s="334">
        <f>(AVERAGEIF(Table!F:F,E$116,Table!AA:AA))*F124</f>
        <v>40624.353821140583</v>
      </c>
      <c r="J124" s="334">
        <f>(AVERAGEIF(Table!F:F,E$116,Table!AI:AI))*F124</f>
        <v>3006.2021827644035</v>
      </c>
      <c r="K124" s="334">
        <f>_xlfn.XLOOKUP(D124,Table!D:D,Table!AD:AD)</f>
        <v>6466.5493076492457</v>
      </c>
      <c r="L124" s="334">
        <f t="shared" si="25"/>
        <v>8278.9529623020826</v>
      </c>
      <c r="M124" s="334">
        <f t="shared" si="26"/>
        <v>4139.4764811510413</v>
      </c>
      <c r="N124" s="436">
        <f t="shared" si="23"/>
        <v>95207.959066473937</v>
      </c>
      <c r="O124" s="441">
        <f>(LOOKUP(2024,Lists!$A$10:$A$15,Lists!$D$10:$D$15))*Table1478[[#This Row],[Total Estimate - Current FY]]</f>
        <v>99587.525183531747</v>
      </c>
      <c r="P124" s="432">
        <f>(LOOKUP(2025,Lists!$A$10:$A$15,Lists!$D$10:$D$15))*Table1478[[#This Row],[Total Estimate - Current FY]]</f>
        <v>103770.20124124008</v>
      </c>
      <c r="Q124" s="432">
        <f>(LOOKUP(2026,Lists!$A$10:$A$15,Lists!$D$10:$D$15))*Table1478[[#This Row],[Total Estimate - Current FY]]</f>
        <v>107921.00929088968</v>
      </c>
      <c r="R124" s="432">
        <f>(LOOKUP(2027,Lists!$A$10:$A$15,Lists!$D$10:$D$15))*Table1478[[#This Row],[Total Estimate - Current FY]]</f>
        <v>112237.84966252527</v>
      </c>
      <c r="S124" s="433">
        <f>(LOOKUP(2028,Lists!$A$10:$A$15,Lists!$D$10:$D$15))*Table1478[[#This Row],[Total Estimate - Current FY]]</f>
        <v>116951.83934835134</v>
      </c>
    </row>
    <row r="125" spans="2:19" x14ac:dyDescent="0.25">
      <c r="B125" s="415">
        <v>41</v>
      </c>
      <c r="C125" s="458" t="s">
        <v>370</v>
      </c>
      <c r="D125" s="263" t="str">
        <f t="shared" si="24"/>
        <v>41-Private</v>
      </c>
      <c r="E125" s="402" t="str">
        <f>_xlfn.XLOOKUP(D125,Table!D:D,Table!E:E)</f>
        <v>Local Canal - Direct Benefit</v>
      </c>
      <c r="F125" s="406">
        <f>_xlfn.XLOOKUP(D125,Table!D:D,Table!S:S)</f>
        <v>933.77580228635429</v>
      </c>
      <c r="G125" s="334">
        <f>(AVERAGEIF(Table!F:F,E$116,Table!K:K))*F125</f>
        <v>585.25158762129718</v>
      </c>
      <c r="H125" s="334">
        <f>(SUMIF(Table!F:F,E$116,Table!L:L))/(COUNTIF(Table!F:F,E$116))</f>
        <v>32123.330102719992</v>
      </c>
      <c r="I125" s="334">
        <f>(AVERAGEIF(Table!F:F,E$116,Table!AA:AA))*F125</f>
        <v>41777.735925790912</v>
      </c>
      <c r="J125" s="334">
        <f>(AVERAGEIF(Table!F:F,E$116,Table!AI:AI))*F125</f>
        <v>3091.5524585085282</v>
      </c>
      <c r="K125" s="334">
        <f>_xlfn.XLOOKUP(D125,Table!D:D,Table!AD:AD)</f>
        <v>6589.4369935162313</v>
      </c>
      <c r="L125" s="334">
        <f t="shared" si="25"/>
        <v>8416.7307068156952</v>
      </c>
      <c r="M125" s="334">
        <f t="shared" si="26"/>
        <v>4208.3653534078476</v>
      </c>
      <c r="N125" s="436">
        <f t="shared" si="23"/>
        <v>96792.403128380494</v>
      </c>
      <c r="O125" s="441">
        <f>(LOOKUP(2024,Lists!$A$10:$A$15,Lists!$D$10:$D$15))*Table1478[[#This Row],[Total Estimate - Current FY]]</f>
        <v>101244.853672286</v>
      </c>
      <c r="P125" s="432">
        <f>(LOOKUP(2025,Lists!$A$10:$A$15,Lists!$D$10:$D$15))*Table1478[[#This Row],[Total Estimate - Current FY]]</f>
        <v>105497.13752652203</v>
      </c>
      <c r="Q125" s="432">
        <f>(LOOKUP(2026,Lists!$A$10:$A$15,Lists!$D$10:$D$15))*Table1478[[#This Row],[Total Estimate - Current FY]]</f>
        <v>109717.02302758289</v>
      </c>
      <c r="R125" s="432">
        <f>(LOOKUP(2027,Lists!$A$10:$A$15,Lists!$D$10:$D$15))*Table1478[[#This Row],[Total Estimate - Current FY]]</f>
        <v>114105.70394868622</v>
      </c>
      <c r="S125" s="433">
        <f>(LOOKUP(2028,Lists!$A$10:$A$15,Lists!$D$10:$D$15))*Table1478[[#This Row],[Total Estimate - Current FY]]</f>
        <v>118898.14351453104</v>
      </c>
    </row>
    <row r="126" spans="2:19" x14ac:dyDescent="0.25">
      <c r="B126" s="415">
        <v>42</v>
      </c>
      <c r="C126" s="458" t="s">
        <v>370</v>
      </c>
      <c r="D126" s="263" t="str">
        <f t="shared" si="24"/>
        <v>42-Private</v>
      </c>
      <c r="E126" s="402" t="str">
        <f>_xlfn.XLOOKUP(D126,Table!D:D,Table!E:E)</f>
        <v>Local Canal - Direct Benefit</v>
      </c>
      <c r="F126" s="406">
        <f>_xlfn.XLOOKUP(D126,Table!D:D,Table!S:S)</f>
        <v>980.86297491035191</v>
      </c>
      <c r="G126" s="334">
        <f>(AVERAGEIF(Table!F:F,E$116,Table!K:K))*F126</f>
        <v>614.76385648424821</v>
      </c>
      <c r="H126" s="334">
        <f>(SUMIF(Table!F:F,E$116,Table!L:L))/(COUNTIF(Table!F:F,E$116))</f>
        <v>32123.330102719992</v>
      </c>
      <c r="I126" s="334">
        <f>(AVERAGEIF(Table!F:F,E$116,Table!AA:AA))*F126</f>
        <v>43884.446614331799</v>
      </c>
      <c r="J126" s="334">
        <f>(AVERAGEIF(Table!F:F,E$116,Table!AI:AI))*F126</f>
        <v>3247.4490494605539</v>
      </c>
      <c r="K126" s="334">
        <f>_xlfn.XLOOKUP(D126,Table!D:D,Table!AD:AD)</f>
        <v>6953.94844010817</v>
      </c>
      <c r="L126" s="334">
        <f t="shared" si="25"/>
        <v>8682.3938063104779</v>
      </c>
      <c r="M126" s="334">
        <f t="shared" si="26"/>
        <v>4341.1969031552389</v>
      </c>
      <c r="N126" s="436">
        <f t="shared" si="23"/>
        <v>99847.528772570484</v>
      </c>
      <c r="O126" s="441">
        <f>(LOOKUP(2024,Lists!$A$10:$A$15,Lists!$D$10:$D$15))*Table1478[[#This Row],[Total Estimate - Current FY]]</f>
        <v>104440.51509610873</v>
      </c>
      <c r="P126" s="432">
        <f>(LOOKUP(2025,Lists!$A$10:$A$15,Lists!$D$10:$D$15))*Table1478[[#This Row],[Total Estimate - Current FY]]</f>
        <v>108827.0167301453</v>
      </c>
      <c r="Q126" s="432">
        <f>(LOOKUP(2026,Lists!$A$10:$A$15,Lists!$D$10:$D$15))*Table1478[[#This Row],[Total Estimate - Current FY]]</f>
        <v>113180.09739935111</v>
      </c>
      <c r="R126" s="432">
        <f>(LOOKUP(2027,Lists!$A$10:$A$15,Lists!$D$10:$D$15))*Table1478[[#This Row],[Total Estimate - Current FY]]</f>
        <v>117707.30129532516</v>
      </c>
      <c r="S126" s="433">
        <f>(LOOKUP(2028,Lists!$A$10:$A$15,Lists!$D$10:$D$15))*Table1478[[#This Row],[Total Estimate - Current FY]]</f>
        <v>122651.00794972881</v>
      </c>
    </row>
    <row r="127" spans="2:19" x14ac:dyDescent="0.25">
      <c r="B127" s="415">
        <v>43</v>
      </c>
      <c r="C127" s="458" t="s">
        <v>370</v>
      </c>
      <c r="D127" s="263" t="str">
        <f t="shared" si="24"/>
        <v>43-Private</v>
      </c>
      <c r="E127" s="402" t="str">
        <f>_xlfn.XLOOKUP(D127,Table!D:D,Table!E:E)</f>
        <v>Local Canal - Direct Benefit</v>
      </c>
      <c r="F127" s="406">
        <f>_xlfn.XLOOKUP(D127,Table!D:D,Table!S:S)</f>
        <v>1233.6189760709294</v>
      </c>
      <c r="G127" s="334">
        <f>(AVERAGEIF(Table!F:F,E$116,Table!K:K))*F127</f>
        <v>773.18073835015355</v>
      </c>
      <c r="H127" s="334">
        <f>(SUMIF(Table!F:F,E$116,Table!L:L))/(COUNTIF(Table!F:F,E$116))</f>
        <v>32123.330102719992</v>
      </c>
      <c r="I127" s="334">
        <f>(AVERAGEIF(Table!F:F,E$116,Table!AA:AA))*F127</f>
        <v>55192.91428322014</v>
      </c>
      <c r="J127" s="334">
        <f>(AVERAGEIF(Table!F:F,E$116,Table!AI:AI))*F127</f>
        <v>4084.2756569582912</v>
      </c>
      <c r="K127" s="334">
        <f>_xlfn.XLOOKUP(D127,Table!D:D,Table!AD:AD)</f>
        <v>9074.7829563312862</v>
      </c>
      <c r="L127" s="334">
        <f t="shared" si="25"/>
        <v>10124.848373757986</v>
      </c>
      <c r="M127" s="334">
        <f t="shared" si="26"/>
        <v>5062.4241868789932</v>
      </c>
      <c r="N127" s="436">
        <f t="shared" si="23"/>
        <v>116435.75629821683</v>
      </c>
      <c r="O127" s="441">
        <f>(LOOKUP(2024,Lists!$A$10:$A$15,Lists!$D$10:$D$15))*Table1478[[#This Row],[Total Estimate - Current FY]]</f>
        <v>121791.80108793481</v>
      </c>
      <c r="P127" s="432">
        <f>(LOOKUP(2025,Lists!$A$10:$A$15,Lists!$D$10:$D$15))*Table1478[[#This Row],[Total Estimate - Current FY]]</f>
        <v>126907.05673362808</v>
      </c>
      <c r="Q127" s="432">
        <f>(LOOKUP(2026,Lists!$A$10:$A$15,Lists!$D$10:$D$15))*Table1478[[#This Row],[Total Estimate - Current FY]]</f>
        <v>131983.3390029732</v>
      </c>
      <c r="R127" s="432">
        <f>(LOOKUP(2027,Lists!$A$10:$A$15,Lists!$D$10:$D$15))*Table1478[[#This Row],[Total Estimate - Current FY]]</f>
        <v>137262.67256309214</v>
      </c>
      <c r="S127" s="433">
        <f>(LOOKUP(2028,Lists!$A$10:$A$15,Lists!$D$10:$D$15))*Table1478[[#This Row],[Total Estimate - Current FY]]</f>
        <v>143027.704810742</v>
      </c>
    </row>
    <row r="128" spans="2:19" x14ac:dyDescent="0.25">
      <c r="B128" s="415">
        <v>44</v>
      </c>
      <c r="C128" s="458" t="s">
        <v>370</v>
      </c>
      <c r="D128" s="263" t="str">
        <f t="shared" si="24"/>
        <v>44-Private</v>
      </c>
      <c r="E128" s="402" t="str">
        <f>_xlfn.XLOOKUP(D128,Table!D:D,Table!E:E)</f>
        <v>Local Canal - Direct Benefit</v>
      </c>
      <c r="F128" s="406">
        <f>_xlfn.XLOOKUP(D128,Table!D:D,Table!S:S)</f>
        <v>592.38574612388936</v>
      </c>
      <c r="G128" s="334">
        <f>(AVERAGEIF(Table!F:F,E$116,Table!K:K))*F128</f>
        <v>371.28259005464628</v>
      </c>
      <c r="H128" s="334">
        <f>(SUMIF(Table!F:F,E$116,Table!L:L))/(COUNTIF(Table!F:F,E$116))</f>
        <v>32123.330102719992</v>
      </c>
      <c r="I128" s="334">
        <f>(AVERAGEIF(Table!F:F,E$116,Table!AA:AA))*F128</f>
        <v>26503.723064111928</v>
      </c>
      <c r="J128" s="334">
        <f>(AVERAGEIF(Table!F:F,E$116,Table!AI:AI))*F128</f>
        <v>1961.2755067442831</v>
      </c>
      <c r="K128" s="334">
        <f>_xlfn.XLOOKUP(D128,Table!D:D,Table!AD:AD)</f>
        <v>4373.5625206558616</v>
      </c>
      <c r="L128" s="334">
        <f t="shared" si="25"/>
        <v>6533.317378428671</v>
      </c>
      <c r="M128" s="334">
        <f t="shared" si="26"/>
        <v>3266.6586892143355</v>
      </c>
      <c r="N128" s="436">
        <f t="shared" si="23"/>
        <v>75133.149851929717</v>
      </c>
      <c r="O128" s="441">
        <f>(LOOKUP(2024,Lists!$A$10:$A$15,Lists!$D$10:$D$15))*Table1478[[#This Row],[Total Estimate - Current FY]]</f>
        <v>78589.274745118484</v>
      </c>
      <c r="P128" s="432">
        <f>(LOOKUP(2025,Lists!$A$10:$A$15,Lists!$D$10:$D$15))*Table1478[[#This Row],[Total Estimate - Current FY]]</f>
        <v>81890.024284413463</v>
      </c>
      <c r="Q128" s="432">
        <f>(LOOKUP(2026,Lists!$A$10:$A$15,Lists!$D$10:$D$15))*Table1478[[#This Row],[Total Estimate - Current FY]]</f>
        <v>85165.625255790001</v>
      </c>
      <c r="R128" s="432">
        <f>(LOOKUP(2027,Lists!$A$10:$A$15,Lists!$D$10:$D$15))*Table1478[[#This Row],[Total Estimate - Current FY]]</f>
        <v>88572.250266021612</v>
      </c>
      <c r="S128" s="433">
        <f>(LOOKUP(2028,Lists!$A$10:$A$15,Lists!$D$10:$D$15))*Table1478[[#This Row],[Total Estimate - Current FY]]</f>
        <v>92292.284777194509</v>
      </c>
    </row>
    <row r="129" spans="2:19" x14ac:dyDescent="0.25">
      <c r="B129" s="415">
        <v>45</v>
      </c>
      <c r="C129" s="458" t="s">
        <v>370</v>
      </c>
      <c r="D129" s="263" t="str">
        <f t="shared" si="24"/>
        <v>45-Private</v>
      </c>
      <c r="E129" s="402" t="str">
        <f>_xlfn.XLOOKUP(D129,Table!D:D,Table!E:E)</f>
        <v>Local Canal - Direct Benefit</v>
      </c>
      <c r="F129" s="406">
        <f>_xlfn.XLOOKUP(D129,Table!D:D,Table!S:S)</f>
        <v>607.33669108468234</v>
      </c>
      <c r="G129" s="334">
        <f>(AVERAGEIF(Table!F:F,E$116,Table!K:K))*F129</f>
        <v>380.65321655119732</v>
      </c>
      <c r="H129" s="334">
        <f>(SUMIF(Table!F:F,E$116,Table!L:L))/(COUNTIF(Table!F:F,E$116))</f>
        <v>32123.330102719992</v>
      </c>
      <c r="I129" s="334">
        <f>(AVERAGEIF(Table!F:F,E$116,Table!AA:AA))*F129</f>
        <v>27172.638053002909</v>
      </c>
      <c r="J129" s="334">
        <f>(AVERAGEIF(Table!F:F,E$116,Table!AI:AI))*F129</f>
        <v>2010.7752159222157</v>
      </c>
      <c r="K129" s="334">
        <f>_xlfn.XLOOKUP(D129,Table!D:D,Table!AD:AD)</f>
        <v>4399.4302507889852</v>
      </c>
      <c r="L129" s="334">
        <f t="shared" si="25"/>
        <v>6608.6826838985289</v>
      </c>
      <c r="M129" s="334">
        <f t="shared" si="26"/>
        <v>3304.3413419492645</v>
      </c>
      <c r="N129" s="436">
        <f t="shared" si="23"/>
        <v>75999.850864833075</v>
      </c>
      <c r="O129" s="441">
        <f>(LOOKUP(2024,Lists!$A$10:$A$15,Lists!$D$10:$D$15))*Table1478[[#This Row],[Total Estimate - Current FY]]</f>
        <v>79495.844004615399</v>
      </c>
      <c r="P129" s="432">
        <f>(LOOKUP(2025,Lists!$A$10:$A$15,Lists!$D$10:$D$15))*Table1478[[#This Row],[Total Estimate - Current FY]]</f>
        <v>82834.669452809248</v>
      </c>
      <c r="Q129" s="432">
        <f>(LOOKUP(2026,Lists!$A$10:$A$15,Lists!$D$10:$D$15))*Table1478[[#This Row],[Total Estimate - Current FY]]</f>
        <v>86148.056230921618</v>
      </c>
      <c r="R129" s="432">
        <f>(LOOKUP(2027,Lists!$A$10:$A$15,Lists!$D$10:$D$15))*Table1478[[#This Row],[Total Estimate - Current FY]]</f>
        <v>89593.97848015849</v>
      </c>
      <c r="S129" s="433">
        <f>(LOOKUP(2028,Lists!$A$10:$A$15,Lists!$D$10:$D$15))*Table1478[[#This Row],[Total Estimate - Current FY]]</f>
        <v>93356.925576325142</v>
      </c>
    </row>
    <row r="130" spans="2:19" x14ac:dyDescent="0.25">
      <c r="B130" s="415">
        <v>46</v>
      </c>
      <c r="C130" s="458" t="s">
        <v>370</v>
      </c>
      <c r="D130" s="263" t="str">
        <f>B130&amp;"-"&amp;C130</f>
        <v>46-Private</v>
      </c>
      <c r="E130" s="402" t="str">
        <f>_xlfn.XLOOKUP(D130,Table!D:D,Table!E:E)</f>
        <v>Local Canal - Direct Benefit</v>
      </c>
      <c r="F130" s="406">
        <f>_xlfn.XLOOKUP(D130,Table!D:D,Table!S:S)</f>
        <v>672.06533800530849</v>
      </c>
      <c r="G130" s="334">
        <f>(AVERAGEIF(Table!F:F,E$116,Table!K:K))*F130</f>
        <v>421.22242308034413</v>
      </c>
      <c r="H130" s="334">
        <f>(SUMIF(Table!F:F,E$116,Table!L:L))/(COUNTIF(Table!F:F,E$116))</f>
        <v>32123.330102719992</v>
      </c>
      <c r="I130" s="334">
        <f>(AVERAGEIF(Table!F:F,E$116,Table!AA:AA))*F130</f>
        <v>30068.639760545975</v>
      </c>
      <c r="J130" s="334">
        <f>(AVERAGEIF(Table!F:F,E$116,Table!AI:AI))*F130</f>
        <v>2225.0793422804027</v>
      </c>
      <c r="K130" s="334">
        <f>_xlfn.XLOOKUP(D130,Table!D:D,Table!AD:AD)</f>
        <v>4943.8661314179817</v>
      </c>
      <c r="L130" s="334">
        <f>SUM(G130:K130)*0.1</f>
        <v>6978.2137760044707</v>
      </c>
      <c r="M130" s="334">
        <f>SUM(G130:K130)*0.05</f>
        <v>3489.1068880022353</v>
      </c>
      <c r="N130" s="436">
        <f t="shared" si="23"/>
        <v>80249.458424051409</v>
      </c>
      <c r="O130" s="441">
        <f>(LOOKUP(2024,Lists!$A$10:$A$15,Lists!$D$10:$D$15))*Table1478[[#This Row],[Total Estimate - Current FY]]</f>
        <v>83940.933511557771</v>
      </c>
      <c r="P130" s="432">
        <f>(LOOKUP(2025,Lists!$A$10:$A$15,Lists!$D$10:$D$15))*Table1478[[#This Row],[Total Estimate - Current FY]]</f>
        <v>87466.452719043213</v>
      </c>
      <c r="Q130" s="432">
        <f>(LOOKUP(2026,Lists!$A$10:$A$15,Lists!$D$10:$D$15))*Table1478[[#This Row],[Total Estimate - Current FY]]</f>
        <v>90965.110827804936</v>
      </c>
      <c r="R130" s="432">
        <f>(LOOKUP(2027,Lists!$A$10:$A$15,Lists!$D$10:$D$15))*Table1478[[#This Row],[Total Estimate - Current FY]]</f>
        <v>94603.715260917132</v>
      </c>
      <c r="S130" s="433">
        <f>(LOOKUP(2028,Lists!$A$10:$A$15,Lists!$D$10:$D$15))*Table1478[[#This Row],[Total Estimate - Current FY]]</f>
        <v>98577.071301875651</v>
      </c>
    </row>
    <row r="131" spans="2:19" x14ac:dyDescent="0.25">
      <c r="B131" s="415">
        <v>47</v>
      </c>
      <c r="C131" s="458" t="s">
        <v>370</v>
      </c>
      <c r="D131" s="263" t="str">
        <f t="shared" ref="D131" si="27">B131&amp;"-"&amp;C131</f>
        <v>47-Private</v>
      </c>
      <c r="E131" s="402" t="str">
        <f>_xlfn.XLOOKUP(D131,Table!D:D,Table!E:E)</f>
        <v>Local Canal - Direct Benefit</v>
      </c>
      <c r="F131" s="406">
        <f>_xlfn.XLOOKUP(D131,Table!D:D,Table!S:S)</f>
        <v>765.88155676967119</v>
      </c>
      <c r="G131" s="334">
        <f>(AVERAGEIF(Table!F:F,E$116,Table!K:K))*F131</f>
        <v>480.02250211648146</v>
      </c>
      <c r="H131" s="334">
        <f>(SUMIF(Table!F:F,E$116,Table!L:L))/(COUNTIF(Table!F:F,E$116))</f>
        <v>32123.330102719992</v>
      </c>
      <c r="I131" s="334">
        <f>(AVERAGEIF(Table!F:F,E$116,Table!AA:AA))*F131</f>
        <v>34266.038326129958</v>
      </c>
      <c r="J131" s="334">
        <f>(AVERAGEIF(Table!F:F,E$116,Table!AI:AI))*F131</f>
        <v>2535.6868361336174</v>
      </c>
      <c r="K131" s="334">
        <f>_xlfn.XLOOKUP(D131,Table!D:D,Table!AD:AD)</f>
        <v>5787.3457465736055</v>
      </c>
      <c r="L131" s="334">
        <f t="shared" ref="L131" si="28">SUM(G131:K131)*0.1</f>
        <v>7519.2423513673657</v>
      </c>
      <c r="M131" s="334">
        <f t="shared" ref="M131" si="29">SUM(G131:K131)*0.05</f>
        <v>3759.6211756836828</v>
      </c>
      <c r="N131" s="436">
        <f t="shared" si="23"/>
        <v>86471.28704072471</v>
      </c>
      <c r="O131" s="441">
        <f>(LOOKUP(2024,Lists!$A$10:$A$15,Lists!$D$10:$D$15))*Table1478[[#This Row],[Total Estimate - Current FY]]</f>
        <v>90448.96624459805</v>
      </c>
      <c r="P131" s="432">
        <f>(LOOKUP(2025,Lists!$A$10:$A$15,Lists!$D$10:$D$15))*Table1478[[#This Row],[Total Estimate - Current FY]]</f>
        <v>94247.822826871168</v>
      </c>
      <c r="Q131" s="432">
        <f>(LOOKUP(2026,Lists!$A$10:$A$15,Lists!$D$10:$D$15))*Table1478[[#This Row],[Total Estimate - Current FY]]</f>
        <v>98017.735739946016</v>
      </c>
      <c r="R131" s="432">
        <f>(LOOKUP(2027,Lists!$A$10:$A$15,Lists!$D$10:$D$15))*Table1478[[#This Row],[Total Estimate - Current FY]]</f>
        <v>101938.44516954386</v>
      </c>
      <c r="S131" s="433">
        <f>(LOOKUP(2028,Lists!$A$10:$A$15,Lists!$D$10:$D$15))*Table1478[[#This Row],[Total Estimate - Current FY]]</f>
        <v>106219.8598666647</v>
      </c>
    </row>
    <row r="132" spans="2:19" x14ac:dyDescent="0.25">
      <c r="B132" s="415">
        <v>48</v>
      </c>
      <c r="C132" s="458" t="s">
        <v>370</v>
      </c>
      <c r="D132" s="263" t="str">
        <f>B132&amp;"-"&amp;C132</f>
        <v>48-Private</v>
      </c>
      <c r="E132" s="402" t="str">
        <f>_xlfn.XLOOKUP(D132,Table!D:D,Table!E:E)</f>
        <v>Local Canal - Direct Benefit</v>
      </c>
      <c r="F132" s="406">
        <f>_xlfn.XLOOKUP(D132,Table!D:D,Table!S:S)</f>
        <v>648.90914230935232</v>
      </c>
      <c r="G132" s="334">
        <f>(AVERAGEIF(Table!F:F,E$116,Table!K:K))*F132</f>
        <v>406.70908887191297</v>
      </c>
      <c r="H132" s="334">
        <f>(SUMIF(Table!F:F,E$116,Table!L:L))/(COUNTIF(Table!F:F,E$116))</f>
        <v>32123.330102719992</v>
      </c>
      <c r="I132" s="334">
        <f>(AVERAGEIF(Table!F:F,E$116,Table!AA:AA))*F132</f>
        <v>29032.616524065787</v>
      </c>
      <c r="J132" s="334">
        <f>(AVERAGEIF(Table!F:F,E$116,Table!AI:AI))*F132</f>
        <v>2148.4136227808685</v>
      </c>
      <c r="K132" s="334">
        <f>_xlfn.XLOOKUP(D132,Table!D:D,Table!AD:AD)</f>
        <v>4755.8300881786854</v>
      </c>
      <c r="L132" s="334">
        <f>SUM(G132:K132)*0.1</f>
        <v>6846.6899426617256</v>
      </c>
      <c r="M132" s="334">
        <f>SUM(G132:K132)*0.05</f>
        <v>3423.3449713308628</v>
      </c>
      <c r="N132" s="436">
        <f t="shared" si="23"/>
        <v>78736.934340609849</v>
      </c>
      <c r="O132" s="441">
        <f>(LOOKUP(2024,Lists!$A$10:$A$15,Lists!$D$10:$D$15))*Table1478[[#This Row],[Total Estimate - Current FY]]</f>
        <v>82358.833320277903</v>
      </c>
      <c r="P132" s="432">
        <f>(LOOKUP(2025,Lists!$A$10:$A$15,Lists!$D$10:$D$15))*Table1478[[#This Row],[Total Estimate - Current FY]]</f>
        <v>85817.904319729583</v>
      </c>
      <c r="Q132" s="432">
        <f>(LOOKUP(2026,Lists!$A$10:$A$15,Lists!$D$10:$D$15))*Table1478[[#This Row],[Total Estimate - Current FY]]</f>
        <v>89250.620492518763</v>
      </c>
      <c r="R132" s="432">
        <f>(LOOKUP(2027,Lists!$A$10:$A$15,Lists!$D$10:$D$15))*Table1478[[#This Row],[Total Estimate - Current FY]]</f>
        <v>92820.645312219509</v>
      </c>
      <c r="S132" s="433">
        <f>(LOOKUP(2028,Lists!$A$10:$A$15,Lists!$D$10:$D$15))*Table1478[[#This Row],[Total Estimate - Current FY]]</f>
        <v>96719.112415332726</v>
      </c>
    </row>
    <row r="133" spans="2:19" x14ac:dyDescent="0.25">
      <c r="B133" s="415">
        <v>49</v>
      </c>
      <c r="C133" s="458" t="s">
        <v>370</v>
      </c>
      <c r="D133" s="263" t="str">
        <f>B133&amp;"-"&amp;C133</f>
        <v>49-Private</v>
      </c>
      <c r="E133" s="402" t="str">
        <f>_xlfn.XLOOKUP(D133,Table!D:D,Table!E:E)</f>
        <v>Local Canal - Direct Benefit</v>
      </c>
      <c r="F133" s="406">
        <f>_xlfn.XLOOKUP(D133,Table!D:D,Table!S:S)</f>
        <v>681.18775301418566</v>
      </c>
      <c r="G133" s="334">
        <f>(AVERAGEIF(Table!F:F,E$116,Table!K:K))*F133</f>
        <v>426.9399709690486</v>
      </c>
      <c r="H133" s="334">
        <f>(SUMIF(Table!F:F,E$116,Table!L:L))/(COUNTIF(Table!F:F,E$116))</f>
        <v>32123.330102719992</v>
      </c>
      <c r="I133" s="334">
        <f>(AVERAGEIF(Table!F:F,E$116,Table!AA:AA))*F133</f>
        <v>30476.782533482674</v>
      </c>
      <c r="J133" s="334">
        <f>(AVERAGEIF(Table!F:F,E$116,Table!AI:AI))*F133</f>
        <v>2255.2819074777185</v>
      </c>
      <c r="K133" s="334">
        <f>_xlfn.XLOOKUP(D133,Table!D:D,Table!AD:AD)</f>
        <v>4294.2348149142827</v>
      </c>
      <c r="L133" s="334">
        <f>SUM(G133:K133)*0.1</f>
        <v>6957.6569329563717</v>
      </c>
      <c r="M133" s="334">
        <f>SUM(G133:K133)*0.05</f>
        <v>3478.8284664781859</v>
      </c>
      <c r="N133" s="436">
        <f t="shared" si="23"/>
        <v>80013.054728998279</v>
      </c>
      <c r="O133" s="441">
        <f>(LOOKUP(2024,Lists!$A$10:$A$15,Lists!$D$10:$D$15))*Table1478[[#This Row],[Total Estimate - Current FY]]</f>
        <v>83693.655246532202</v>
      </c>
      <c r="P133" s="432">
        <f>(LOOKUP(2025,Lists!$A$10:$A$15,Lists!$D$10:$D$15))*Table1478[[#This Row],[Total Estimate - Current FY]]</f>
        <v>87208.788766886559</v>
      </c>
      <c r="Q133" s="432">
        <f>(LOOKUP(2026,Lists!$A$10:$A$15,Lists!$D$10:$D$15))*Table1478[[#This Row],[Total Estimate - Current FY]]</f>
        <v>90697.140317562022</v>
      </c>
      <c r="R133" s="432">
        <f>(LOOKUP(2027,Lists!$A$10:$A$15,Lists!$D$10:$D$15))*Table1478[[#This Row],[Total Estimate - Current FY]]</f>
        <v>94325.025930264499</v>
      </c>
      <c r="S133" s="433">
        <f>(LOOKUP(2028,Lists!$A$10:$A$15,Lists!$D$10:$D$15))*Table1478[[#This Row],[Total Estimate - Current FY]]</f>
        <v>98286.677019335606</v>
      </c>
    </row>
    <row r="134" spans="2:19" x14ac:dyDescent="0.25">
      <c r="B134" s="415">
        <v>50</v>
      </c>
      <c r="C134" s="458" t="s">
        <v>370</v>
      </c>
      <c r="D134" s="263" t="str">
        <f>B134&amp;"-"&amp;C134</f>
        <v>50-Private</v>
      </c>
      <c r="E134" s="402" t="str">
        <f>_xlfn.XLOOKUP(D134,Table!D:D,Table!E:E)</f>
        <v>Local Canal - Direct Benefit</v>
      </c>
      <c r="F134" s="406">
        <f>_xlfn.XLOOKUP(D134,Table!D:D,Table!S:S)</f>
        <v>519.71630081624915</v>
      </c>
      <c r="G134" s="334">
        <f>(AVERAGEIF(Table!F:F,E$116,Table!K:K))*F134</f>
        <v>325.73642347620125</v>
      </c>
      <c r="H134" s="334">
        <f>(SUMIF(Table!F:F,E$116,Table!L:L))/(COUNTIF(Table!F:F,E$116))</f>
        <v>32123.330102719992</v>
      </c>
      <c r="I134" s="334">
        <f>(AVERAGEIF(Table!F:F,E$116,Table!AA:AA))*F134</f>
        <v>23252.44487881014</v>
      </c>
      <c r="J134" s="334">
        <f>(AVERAGEIF(Table!F:F,E$116,Table!AI:AI))*F134</f>
        <v>1720.6809210319509</v>
      </c>
      <c r="K134" s="334">
        <f>_xlfn.XLOOKUP(D134,Table!D:D,Table!AD:AD)</f>
        <v>3837.0466364133026</v>
      </c>
      <c r="L134" s="334">
        <f>SUM(G134:K134)*0.1</f>
        <v>6125.9238962451591</v>
      </c>
      <c r="M134" s="334">
        <f>SUM(G134:K134)*0.05</f>
        <v>3062.9619481225795</v>
      </c>
      <c r="N134" s="436">
        <f t="shared" si="23"/>
        <v>70448.124806819324</v>
      </c>
      <c r="O134" s="441">
        <f>(LOOKUP(2024,Lists!$A$10:$A$15,Lists!$D$10:$D$15))*Table1478[[#This Row],[Total Estimate - Current FY]]</f>
        <v>73688.738547933011</v>
      </c>
      <c r="P134" s="432">
        <f>(LOOKUP(2025,Lists!$A$10:$A$15,Lists!$D$10:$D$15))*Table1478[[#This Row],[Total Estimate - Current FY]]</f>
        <v>76783.665566946205</v>
      </c>
      <c r="Q134" s="432">
        <f>(LOOKUP(2026,Lists!$A$10:$A$15,Lists!$D$10:$D$15))*Table1478[[#This Row],[Total Estimate - Current FY]]</f>
        <v>79855.01218962406</v>
      </c>
      <c r="R134" s="432">
        <f>(LOOKUP(2027,Lists!$A$10:$A$15,Lists!$D$10:$D$15))*Table1478[[#This Row],[Total Estimate - Current FY]]</f>
        <v>83049.212677209012</v>
      </c>
      <c r="S134" s="433">
        <f>(LOOKUP(2028,Lists!$A$10:$A$15,Lists!$D$10:$D$15))*Table1478[[#This Row],[Total Estimate - Current FY]]</f>
        <v>86537.2796096518</v>
      </c>
    </row>
    <row r="135" spans="2:19" x14ac:dyDescent="0.25">
      <c r="B135" s="415">
        <v>51</v>
      </c>
      <c r="C135" s="458" t="s">
        <v>370</v>
      </c>
      <c r="D135" s="263" t="str">
        <f>B135&amp;"-"&amp;C135</f>
        <v>51-Private</v>
      </c>
      <c r="E135" s="402" t="str">
        <f>_xlfn.XLOOKUP(D135,Table!D:D,Table!E:E)</f>
        <v>Local Canal - Direct Benefit</v>
      </c>
      <c r="F135" s="406">
        <f>_xlfn.XLOOKUP(D135,Table!D:D,Table!S:S)</f>
        <v>460.02354217068745</v>
      </c>
      <c r="G135" s="334">
        <f>(AVERAGEIF(Table!F:F,E$116,Table!K:K))*F135</f>
        <v>288.32350092962133</v>
      </c>
      <c r="H135" s="334">
        <f>(SUMIF(Table!F:F,E$116,Table!L:L))/(COUNTIF(Table!F:F,E$116))</f>
        <v>32123.330102719992</v>
      </c>
      <c r="I135" s="334">
        <f>(AVERAGEIF(Table!F:F,E$116,Table!AA:AA))*F135</f>
        <v>20581.752083740812</v>
      </c>
      <c r="J135" s="334">
        <f>(AVERAGEIF(Table!F:F,E$116,Table!AI:AI))*F135</f>
        <v>1523.0496541968205</v>
      </c>
      <c r="K135" s="334">
        <f>_xlfn.XLOOKUP(D135,Table!D:D,Table!AD:AD)</f>
        <v>3396.3371600712003</v>
      </c>
      <c r="L135" s="334">
        <f>SUM(G135:K135)*0.1</f>
        <v>5791.279250165845</v>
      </c>
      <c r="M135" s="334">
        <f>SUM(G135:K135)*0.05</f>
        <v>2895.6396250829225</v>
      </c>
      <c r="N135" s="436">
        <f t="shared" si="23"/>
        <v>66599.711376907217</v>
      </c>
      <c r="O135" s="441">
        <f>(LOOKUP(2024,Lists!$A$10:$A$15,Lists!$D$10:$D$15))*Table1478[[#This Row],[Total Estimate - Current FY]]</f>
        <v>69663.298100244952</v>
      </c>
      <c r="P135" s="432">
        <f>(LOOKUP(2025,Lists!$A$10:$A$15,Lists!$D$10:$D$15))*Table1478[[#This Row],[Total Estimate - Current FY]]</f>
        <v>72589.156620455251</v>
      </c>
      <c r="Q135" s="432">
        <f>(LOOKUP(2026,Lists!$A$10:$A$15,Lists!$D$10:$D$15))*Table1478[[#This Row],[Total Estimate - Current FY]]</f>
        <v>75492.722885273455</v>
      </c>
      <c r="R135" s="432">
        <f>(LOOKUP(2027,Lists!$A$10:$A$15,Lists!$D$10:$D$15))*Table1478[[#This Row],[Total Estimate - Current FY]]</f>
        <v>78512.431800684397</v>
      </c>
      <c r="S135" s="433">
        <f>(LOOKUP(2028,Lists!$A$10:$A$15,Lists!$D$10:$D$15))*Table1478[[#This Row],[Total Estimate - Current FY]]</f>
        <v>81809.953936313133</v>
      </c>
    </row>
    <row r="136" spans="2:19" x14ac:dyDescent="0.25">
      <c r="B136" s="415">
        <v>52</v>
      </c>
      <c r="C136" s="458" t="s">
        <v>370</v>
      </c>
      <c r="D136" s="263" t="str">
        <f t="shared" ref="D136" si="30">B136&amp;"-"&amp;C136</f>
        <v>52-Private</v>
      </c>
      <c r="E136" s="402" t="str">
        <f>_xlfn.XLOOKUP(D136,Table!D:D,Table!E:E)</f>
        <v>Local Canal - Direct Benefit</v>
      </c>
      <c r="F136" s="406">
        <f>_xlfn.XLOOKUP(D136,Table!D:D,Table!S:S)</f>
        <v>247.50204585869679</v>
      </c>
      <c r="G136" s="334">
        <f>(AVERAGEIF(Table!F:F,E$116,Table!K:K))*F136</f>
        <v>155.12392259860786</v>
      </c>
      <c r="H136" s="334">
        <f>(SUMIF(Table!F:F,E$116,Table!L:L))/(COUNTIF(Table!F:F,E$116))</f>
        <v>32123.330102719992</v>
      </c>
      <c r="I136" s="334">
        <f>(AVERAGEIF(Table!F:F,E$116,Table!AA:AA))*F136</f>
        <v>11073.402295990008</v>
      </c>
      <c r="J136" s="334">
        <f>(AVERAGEIF(Table!F:F,E$116,Table!AI:AI))*F136</f>
        <v>819.43176990326072</v>
      </c>
      <c r="K136" s="334">
        <f>_xlfn.XLOOKUP(D136,Table!D:D,Table!AD:AD)</f>
        <v>1792.8572465105519</v>
      </c>
      <c r="L136" s="334">
        <f t="shared" ref="L136" si="31">SUM(G136:K136)*0.1</f>
        <v>4596.414533772243</v>
      </c>
      <c r="M136" s="334">
        <f t="shared" ref="M136" si="32">SUM(G136:K136)*0.05</f>
        <v>2298.2072668861215</v>
      </c>
      <c r="N136" s="436">
        <f t="shared" si="23"/>
        <v>52858.76713838079</v>
      </c>
      <c r="O136" s="441">
        <f>(LOOKUP(2024,Lists!$A$10:$A$15,Lists!$D$10:$D$15))*Table1478[[#This Row],[Total Estimate - Current FY]]</f>
        <v>55290.270426746305</v>
      </c>
      <c r="P136" s="432">
        <f>(LOOKUP(2025,Lists!$A$10:$A$15,Lists!$D$10:$D$15))*Table1478[[#This Row],[Total Estimate - Current FY]]</f>
        <v>57612.461784669656</v>
      </c>
      <c r="Q136" s="432">
        <f>(LOOKUP(2026,Lists!$A$10:$A$15,Lists!$D$10:$D$15))*Table1478[[#This Row],[Total Estimate - Current FY]]</f>
        <v>59916.960256056445</v>
      </c>
      <c r="R136" s="432">
        <f>(LOOKUP(2027,Lists!$A$10:$A$15,Lists!$D$10:$D$15))*Table1478[[#This Row],[Total Estimate - Current FY]]</f>
        <v>62313.638666298699</v>
      </c>
      <c r="S136" s="433">
        <f>(LOOKUP(2028,Lists!$A$10:$A$15,Lists!$D$10:$D$15))*Table1478[[#This Row],[Total Estimate - Current FY]]</f>
        <v>64930.811490283246</v>
      </c>
    </row>
    <row r="137" spans="2:19" x14ac:dyDescent="0.25">
      <c r="B137" s="415">
        <v>53</v>
      </c>
      <c r="C137" s="458" t="s">
        <v>370</v>
      </c>
      <c r="D137" s="263" t="str">
        <f>B137&amp;"-"&amp;C137</f>
        <v>53-Private</v>
      </c>
      <c r="E137" s="402" t="str">
        <f>_xlfn.XLOOKUP(D137,Table!D:D,Table!E:E)</f>
        <v>Local Canal - Direct Benefit</v>
      </c>
      <c r="F137" s="406">
        <f>_xlfn.XLOOKUP(D137,Table!D:D,Table!S:S)</f>
        <v>70.783819654479075</v>
      </c>
      <c r="G137" s="334">
        <f>(AVERAGEIF(Table!F:F,E$116,Table!K:K))*F137</f>
        <v>44.364335346076508</v>
      </c>
      <c r="H137" s="334">
        <f>(SUMIF(Table!F:F,E$116,Table!L:L))/(COUNTIF(Table!F:F,E$116))</f>
        <v>32123.330102719992</v>
      </c>
      <c r="I137" s="334">
        <f>(AVERAGEIF(Table!F:F,E$116,Table!AA:AA))*F137</f>
        <v>3166.9140687764107</v>
      </c>
      <c r="J137" s="334">
        <f>(AVERAGEIF(Table!F:F,E$116,Table!AI:AI))*F137</f>
        <v>234.35164108945443</v>
      </c>
      <c r="K137" s="334">
        <f>_xlfn.XLOOKUP(D137,Table!D:D,Table!AD:AD)</f>
        <v>404.6862669715303</v>
      </c>
      <c r="L137" s="334">
        <f>SUM(G137:K137)*0.1</f>
        <v>3597.3646414903469</v>
      </c>
      <c r="M137" s="334">
        <f>SUM(G137:K137)*0.05</f>
        <v>1798.6823207451735</v>
      </c>
      <c r="N137" s="436">
        <f t="shared" si="23"/>
        <v>41369.693377138989</v>
      </c>
      <c r="O137" s="441">
        <f>(LOOKUP(2024,Lists!$A$10:$A$15,Lists!$D$10:$D$15))*Table1478[[#This Row],[Total Estimate - Current FY]]</f>
        <v>43272.699272487385</v>
      </c>
      <c r="P137" s="432">
        <f>(LOOKUP(2025,Lists!$A$10:$A$15,Lists!$D$10:$D$15))*Table1478[[#This Row],[Total Estimate - Current FY]]</f>
        <v>45090.152641931854</v>
      </c>
      <c r="Q137" s="432">
        <f>(LOOKUP(2026,Lists!$A$10:$A$15,Lists!$D$10:$D$15))*Table1478[[#This Row],[Total Estimate - Current FY]]</f>
        <v>46893.758747609128</v>
      </c>
      <c r="R137" s="432">
        <f>(LOOKUP(2027,Lists!$A$10:$A$15,Lists!$D$10:$D$15))*Table1478[[#This Row],[Total Estimate - Current FY]]</f>
        <v>48769.509097513495</v>
      </c>
      <c r="S137" s="433">
        <f>(LOOKUP(2028,Lists!$A$10:$A$15,Lists!$D$10:$D$15))*Table1478[[#This Row],[Total Estimate - Current FY]]</f>
        <v>50817.828479609059</v>
      </c>
    </row>
    <row r="138" spans="2:19" x14ac:dyDescent="0.25">
      <c r="B138" s="415">
        <v>54</v>
      </c>
      <c r="C138" s="458" t="s">
        <v>378</v>
      </c>
      <c r="D138" s="263" t="str">
        <f>B138&amp;"-"&amp;C138</f>
        <v>54-Access</v>
      </c>
      <c r="E138" s="402" t="str">
        <f>_xlfn.XLOOKUP(D138,Table!D:D,Table!E:E)</f>
        <v>Access Channel - General Benefit</v>
      </c>
      <c r="F138" s="406">
        <f>_xlfn.XLOOKUP(D138,Table!D:D,Table!S:S)</f>
        <v>12081.25619729585</v>
      </c>
      <c r="G138" s="334">
        <f>(AVERAGEIF(Table!F:F,E$116,Table!K:K))*F138</f>
        <v>7572.0256967622181</v>
      </c>
      <c r="H138" s="334">
        <f>(SUMIF(Table!F:F,E$116,Table!L:L))/(COUNTIF(Table!F:F,E$116))</f>
        <v>32123.330102719992</v>
      </c>
      <c r="I138" s="334">
        <f>(AVERAGEIF(Table!F:F,E$116,Table!AA:AA))*F138</f>
        <v>540523.24961369031</v>
      </c>
      <c r="J138" s="334">
        <f>(AVERAGEIF(Table!F:F,E$116,Table!AI:AI))*F138</f>
        <v>39998.720471413086</v>
      </c>
      <c r="K138" s="334">
        <f>_xlfn.XLOOKUP(D138,Table!D:D,Table!AD:AD)</f>
        <v>111239.86214914161</v>
      </c>
      <c r="L138" s="334">
        <f>SUM(G138:K138)*0.1</f>
        <v>73145.718803372729</v>
      </c>
      <c r="M138" s="334">
        <f>SUM(G138:K138)*0.05</f>
        <v>36572.859401686364</v>
      </c>
      <c r="N138" s="436">
        <f t="shared" si="23"/>
        <v>841175.76623878628</v>
      </c>
      <c r="O138" s="441">
        <f>(LOOKUP(2024,Lists!$A$10:$A$15,Lists!$D$10:$D$15))*Table1478[[#This Row],[Total Estimate - Current FY]]</f>
        <v>879869.85148577043</v>
      </c>
      <c r="P138" s="432">
        <f>(LOOKUP(2025,Lists!$A$10:$A$15,Lists!$D$10:$D$15))*Table1478[[#This Row],[Total Estimate - Current FY]]</f>
        <v>916824.38524817291</v>
      </c>
      <c r="Q138" s="432">
        <f>(LOOKUP(2026,Lists!$A$10:$A$15,Lists!$D$10:$D$15))*Table1478[[#This Row],[Total Estimate - Current FY]]</f>
        <v>953497.36065809976</v>
      </c>
      <c r="R138" s="432">
        <f>(LOOKUP(2027,Lists!$A$10:$A$15,Lists!$D$10:$D$15))*Table1478[[#This Row],[Total Estimate - Current FY]]</f>
        <v>991637.25508442381</v>
      </c>
      <c r="S138" s="433">
        <f>(LOOKUP(2028,Lists!$A$10:$A$15,Lists!$D$10:$D$15))*Table1478[[#This Row],[Total Estimate - Current FY]]</f>
        <v>1033286.0197979696</v>
      </c>
    </row>
    <row r="139" spans="2:19" x14ac:dyDescent="0.25">
      <c r="B139" s="415"/>
      <c r="F139" s="407"/>
      <c r="G139" s="407"/>
      <c r="H139" s="407"/>
      <c r="I139" s="407"/>
      <c r="J139" s="407"/>
      <c r="K139" s="407"/>
      <c r="L139" s="407"/>
      <c r="M139" s="407"/>
      <c r="N139" s="407"/>
      <c r="O139" s="415"/>
      <c r="S139" s="434"/>
    </row>
    <row r="140" spans="2:19" x14ac:dyDescent="0.25">
      <c r="B140" s="481">
        <f>E116</f>
        <v>6</v>
      </c>
      <c r="C140" s="482"/>
      <c r="D140" s="483"/>
      <c r="E140" s="405" t="s">
        <v>651</v>
      </c>
      <c r="F140" s="425">
        <f>SUMIF(Table1478[Classification],$E$140,Table1478[Estimated Dredge Quantities])</f>
        <v>12081.25619729585</v>
      </c>
      <c r="G140" s="420">
        <f>SUMIF(Table1478[Classification],$E$140,Table1478[Insurance/Bonding])</f>
        <v>7572.0256967622181</v>
      </c>
      <c r="H140" s="420">
        <f>SUMIF(Table1478[Classification],$E$140,Table1478[Mob/Demob (LS)])</f>
        <v>32123.330102719992</v>
      </c>
      <c r="I140" s="420">
        <f>SUMIF(Table1478[Classification],$E$140,Table1478[Dredging &amp; Placement])</f>
        <v>540523.24961369031</v>
      </c>
      <c r="J140" s="420">
        <f>SUMIF(Table1478[Classification],$E$140,Table1478[Environmental Protection])</f>
        <v>39998.720471413086</v>
      </c>
      <c r="K140" s="420">
        <f>SUMIF(Table1478[Classification],$E$140,Table1478[Seagrass Transplanting &amp; Monitoring])</f>
        <v>111239.86214914161</v>
      </c>
      <c r="L140" s="420">
        <f>SUMIF(Table1478[Classification],$E$140,Table1478[Engineering Fees - Plans, Design &amp; Specs])</f>
        <v>73145.718803372729</v>
      </c>
      <c r="M140" s="420">
        <f>SUMIF(Table1478[Classification],$E$140,Table1478[Construction Administration])</f>
        <v>36572.859401686364</v>
      </c>
      <c r="N140" s="437">
        <f>SUMIF(Table1478[Classification],$E$140,Table1478[Total Estimate - Current FY])</f>
        <v>841175.76623878628</v>
      </c>
      <c r="O140" s="447">
        <f>(LOOKUP(2024,Lists!$A$10:$A$15,Lists!$D$10:$D$15))*N140</f>
        <v>879869.85148577043</v>
      </c>
      <c r="P140" s="448">
        <f>(LOOKUP(2025,Lists!$A$10:$A$15,Lists!$D$10:$D$15))*N140</f>
        <v>916824.38524817291</v>
      </c>
      <c r="Q140" s="448">
        <f>(LOOKUP(2026,Lists!$A$10:$A$15,Lists!$D$10:$D$15))*N140</f>
        <v>953497.36065809976</v>
      </c>
      <c r="R140" s="448">
        <f>(LOOKUP(2027,Lists!$A$10:$A$15,Lists!$D$10:$D$15))*N140</f>
        <v>991637.25508442381</v>
      </c>
      <c r="S140" s="449">
        <f>(LOOKUP(2028,Lists!$A$10:$A$15,Lists!$D$10:$D$15))*N140</f>
        <v>1033286.0197979696</v>
      </c>
    </row>
    <row r="141" spans="2:19" hidden="1" x14ac:dyDescent="0.25">
      <c r="B141" s="484"/>
      <c r="C141" s="485"/>
      <c r="D141" s="486"/>
      <c r="E141" s="402" t="s">
        <v>689</v>
      </c>
      <c r="F141" s="426">
        <f>SUMIF(Table1478[Classification],$E$141,Table1478[Estimated Dredge Quantities])</f>
        <v>0</v>
      </c>
      <c r="G141" s="422">
        <f>SUMIF(Table1478[Classification],$E$141,Table1478[Insurance/Bonding])</f>
        <v>0</v>
      </c>
      <c r="H141" s="422">
        <f>SUMIF(Table1478[Classification],$E$141,Table1478[Mob/Demob (LS)])</f>
        <v>0</v>
      </c>
      <c r="I141" s="422">
        <f>SUMIF(Table1478[Classification],$E$141,Table1478[Dredging &amp; Placement])</f>
        <v>0</v>
      </c>
      <c r="J141" s="422">
        <f>SUMIF(Table1478[Classification],$E$141,Table1478[Environmental Protection])</f>
        <v>0</v>
      </c>
      <c r="K141" s="422">
        <f>SUMIF(Table1478[Classification],$E$141,Table1478[Seagrass Transplanting &amp; Monitoring])</f>
        <v>0</v>
      </c>
      <c r="L141" s="422">
        <f>SUMIF(Table1478[Classification],$E$141,Table1478[Engineering Fees - Plans, Design &amp; Specs])</f>
        <v>0</v>
      </c>
      <c r="M141" s="422">
        <f>SUMIF(Table1478[Classification],$E$141,Table1478[Construction Administration])</f>
        <v>0</v>
      </c>
      <c r="N141" s="438">
        <f>SUMIF(Table1478[Classification],$E$141,Table1478[Total Estimate - Current FY])</f>
        <v>0</v>
      </c>
      <c r="O141" s="450">
        <f>(LOOKUP(2024,Lists!$A$10:$A$15,Lists!$D$10:$D$15))*N141</f>
        <v>0</v>
      </c>
      <c r="P141" s="451">
        <f>(LOOKUP(2025,Lists!$A$10:$A$15,Lists!$D$10:$D$15))*N141</f>
        <v>0</v>
      </c>
      <c r="Q141" s="451">
        <f>(LOOKUP(2026,Lists!$A$10:$A$15,Lists!$D$10:$D$15))*N141</f>
        <v>0</v>
      </c>
      <c r="R141" s="451">
        <f>(LOOKUP(2027,Lists!$A$10:$A$15,Lists!$D$10:$D$15))*N141</f>
        <v>0</v>
      </c>
      <c r="S141" s="452">
        <f>(LOOKUP(2028,Lists!$A$10:$A$15,Lists!$D$10:$D$15))*N141</f>
        <v>0</v>
      </c>
    </row>
    <row r="142" spans="2:19" ht="15.75" thickBot="1" x14ac:dyDescent="0.3">
      <c r="B142" s="487"/>
      <c r="C142" s="488"/>
      <c r="D142" s="489"/>
      <c r="E142" s="418" t="s">
        <v>650</v>
      </c>
      <c r="F142" s="435">
        <f>SUMIF(Table1478[Classification],$E$142,Table1478[Estimated Dredge Quantities])</f>
        <v>14666.225436229837</v>
      </c>
      <c r="G142" s="424">
        <f>SUMIF(Table1478[Classification],$E$142,Table1478[Insurance/Bonding])</f>
        <v>9192.1762161203897</v>
      </c>
      <c r="H142" s="424">
        <f>SUMIF(Table1478[Classification],$E$142,Table1478[Mob/Demob (LS)])</f>
        <v>642466.6020543999</v>
      </c>
      <c r="I142" s="424">
        <f>SUMIF(Table1478[Classification],$E$142,Table1478[Dredging &amp; Placement])</f>
        <v>656176.45242324332</v>
      </c>
      <c r="J142" s="424">
        <f>SUMIF(Table1478[Classification],$E$142,Table1478[Environmental Protection])</f>
        <v>48557.057479320014</v>
      </c>
      <c r="K142" s="424">
        <f>SUMIF(Table1478[Classification],$E$142,Table1478[Seagrass Transplanting &amp; Monitoring])</f>
        <v>105957.60778501921</v>
      </c>
      <c r="L142" s="424">
        <f>SUMIF(Table1478[Classification],$E$142,Table1478[Engineering Fees - Plans, Design &amp; Specs])</f>
        <v>146234.9895958103</v>
      </c>
      <c r="M142" s="424">
        <f>SUMIF(Table1478[Classification],$E$142,Table1478[Construction Administration])</f>
        <v>73117.49479790515</v>
      </c>
      <c r="N142" s="439">
        <f>SUMIF(Table1478[Classification],$E$142,Table1478[Total Estimate - Current FY])</f>
        <v>1681702.3803518182</v>
      </c>
      <c r="O142" s="453">
        <f>(LOOKUP(2024,Lists!$A$10:$A$15,Lists!$D$10:$D$15))*N142</f>
        <v>1759060.6898480018</v>
      </c>
      <c r="P142" s="454">
        <f>(LOOKUP(2025,Lists!$A$10:$A$15,Lists!$D$10:$D$15))*N142</f>
        <v>1832941.238821618</v>
      </c>
      <c r="Q142" s="454">
        <f>(LOOKUP(2026,Lists!$A$10:$A$15,Lists!$D$10:$D$15))*N142</f>
        <v>1906258.8883744827</v>
      </c>
      <c r="R142" s="454">
        <f>(LOOKUP(2027,Lists!$A$10:$A$15,Lists!$D$10:$D$15))*N142</f>
        <v>1982509.2439094621</v>
      </c>
      <c r="S142" s="455">
        <f>(LOOKUP(2028,Lists!$A$10:$A$15,Lists!$D$10:$D$15))*N142</f>
        <v>2065774.6321536594</v>
      </c>
    </row>
    <row r="143" spans="2:19" ht="15.75" thickBot="1" x14ac:dyDescent="0.3"/>
    <row r="144" spans="2:19" x14ac:dyDescent="0.25">
      <c r="B144" s="410" t="s">
        <v>652</v>
      </c>
      <c r="C144" s="411"/>
      <c r="D144" s="411"/>
      <c r="E144" s="467">
        <v>7</v>
      </c>
      <c r="F144" s="412"/>
      <c r="G144" s="412"/>
      <c r="H144" s="412"/>
      <c r="I144" s="412"/>
      <c r="J144" s="412"/>
      <c r="K144" s="412"/>
      <c r="L144" s="412"/>
      <c r="M144" s="413"/>
      <c r="N144" s="412"/>
      <c r="O144" s="490" t="s">
        <v>681</v>
      </c>
      <c r="P144" s="491"/>
      <c r="Q144" s="491"/>
      <c r="R144" s="491"/>
      <c r="S144" s="492"/>
    </row>
    <row r="145" spans="2:19" ht="30" x14ac:dyDescent="0.25">
      <c r="B145" s="415" t="s">
        <v>653</v>
      </c>
      <c r="C145" s="263" t="s">
        <v>674</v>
      </c>
      <c r="D145" s="263" t="s">
        <v>675</v>
      </c>
      <c r="E145" s="402" t="s">
        <v>649</v>
      </c>
      <c r="F145" s="401" t="s">
        <v>632</v>
      </c>
      <c r="G145" s="401" t="s">
        <v>594</v>
      </c>
      <c r="H145" s="401" t="s">
        <v>596</v>
      </c>
      <c r="I145" s="401" t="s">
        <v>669</v>
      </c>
      <c r="J145" s="401" t="s">
        <v>415</v>
      </c>
      <c r="K145" s="401" t="s">
        <v>668</v>
      </c>
      <c r="L145" s="401" t="s">
        <v>617</v>
      </c>
      <c r="M145" s="401" t="s">
        <v>618</v>
      </c>
      <c r="N145" s="401" t="s">
        <v>680</v>
      </c>
      <c r="O145" s="440" t="s">
        <v>682</v>
      </c>
      <c r="P145" s="401" t="s">
        <v>683</v>
      </c>
      <c r="Q145" s="401" t="s">
        <v>684</v>
      </c>
      <c r="R145" s="401" t="s">
        <v>685</v>
      </c>
      <c r="S145" s="430" t="s">
        <v>686</v>
      </c>
    </row>
    <row r="146" spans="2:19" x14ac:dyDescent="0.25">
      <c r="B146" s="415">
        <v>55</v>
      </c>
      <c r="C146" s="458" t="s">
        <v>370</v>
      </c>
      <c r="D146" s="263" t="str">
        <f>B146&amp;"-"&amp;C146</f>
        <v>55-Private</v>
      </c>
      <c r="E146" s="402" t="str">
        <f>_xlfn.XLOOKUP(D146,Table!D:D,Table!E:E)</f>
        <v>Local Canal - Direct Benefit</v>
      </c>
      <c r="F146" s="406">
        <f>_xlfn.XLOOKUP(D146,Table!D:D,Table!S:S)</f>
        <v>3019.9327527669843</v>
      </c>
      <c r="G146" s="334">
        <f>(AVERAGEIF(Table!F:F,E$144,Table!K:K))*F146</f>
        <v>1787.8531734698572</v>
      </c>
      <c r="H146" s="334">
        <f>(SUMIF(Table!F:F,E$144,Table!L:L))/(COUNTIF(Table!F:F,E$144))</f>
        <v>224863.31071903999</v>
      </c>
      <c r="I146" s="334">
        <f>(AVERAGEIF(Table!F:F,E$144,Table!AA:AA))*F146</f>
        <v>127624.52821169062</v>
      </c>
      <c r="J146" s="334">
        <f>(AVERAGEIF(Table!F:F,E$144,Table!AI:AI))*F146</f>
        <v>9444.2150876651067</v>
      </c>
      <c r="K146" s="334">
        <f>_xlfn.XLOOKUP(D146,Table!D:D,Table!AD:AD)</f>
        <v>28209.238742210557</v>
      </c>
      <c r="L146" s="334">
        <f>SUM(G146:K146)*0.1</f>
        <v>39192.914593407615</v>
      </c>
      <c r="M146" s="334">
        <f>SUM(G146:K146)*0.05</f>
        <v>19596.457296703808</v>
      </c>
      <c r="N146" s="436">
        <f>SUM(G146:M146)</f>
        <v>450718.51782418758</v>
      </c>
      <c r="O146" s="441">
        <f>(LOOKUP(2024,Lists!$A$10:$A$15,Lists!$D$10:$D$15))*Table14569[[#This Row],[Total Estimate - Current FY]]</f>
        <v>471451.56964410021</v>
      </c>
      <c r="P146" s="432">
        <f>(LOOKUP(2025,Lists!$A$10:$A$15,Lists!$D$10:$D$15))*Table14569[[#This Row],[Total Estimate - Current FY]]</f>
        <v>491252.5355691525</v>
      </c>
      <c r="Q146" s="432">
        <f>(LOOKUP(2026,Lists!$A$10:$A$15,Lists!$D$10:$D$15))*Table14569[[#This Row],[Total Estimate - Current FY]]</f>
        <v>510902.63699191855</v>
      </c>
      <c r="R146" s="432">
        <f>(LOOKUP(2027,Lists!$A$10:$A$15,Lists!$D$10:$D$15))*Table14569[[#This Row],[Total Estimate - Current FY]]</f>
        <v>531338.74247159529</v>
      </c>
      <c r="S146" s="433">
        <f>(LOOKUP(2028,Lists!$A$10:$A$15,Lists!$D$10:$D$15))*Table14569[[#This Row],[Total Estimate - Current FY]]</f>
        <v>553654.96965540224</v>
      </c>
    </row>
    <row r="147" spans="2:19" x14ac:dyDescent="0.25">
      <c r="B147" s="415">
        <v>55</v>
      </c>
      <c r="C147" s="458" t="s">
        <v>378</v>
      </c>
      <c r="D147" s="263" t="str">
        <f t="shared" ref="D147:D148" si="33">B147&amp;"-"&amp;C147</f>
        <v>55-Access</v>
      </c>
      <c r="E147" s="402" t="str">
        <f>_xlfn.XLOOKUP(D147,Table!D:D,Table!E:E)</f>
        <v>Access Channel - General Benefit</v>
      </c>
      <c r="F147" s="406">
        <f>_xlfn.XLOOKUP(D147,Table!D:D,Table!S:S)</f>
        <v>2794.4258420522829</v>
      </c>
      <c r="G147" s="334">
        <f>(AVERAGEIF(Table!F:F,E$144,Table!K:K))*F147</f>
        <v>1654.3491258743406</v>
      </c>
      <c r="H147" s="334">
        <f>(SUMIF(Table!F:F,E$144,Table!L:L))/(COUNTIF(Table!F:F,E$144))</f>
        <v>224863.31071903999</v>
      </c>
      <c r="I147" s="334">
        <f>(AVERAGEIF(Table!F:F,E$144,Table!AA:AA))*F147</f>
        <v>118094.44411890079</v>
      </c>
      <c r="J147" s="334">
        <f>(AVERAGEIF(Table!F:F,E$144,Table!AI:AI))*F147</f>
        <v>8738.9888647986591</v>
      </c>
      <c r="K147" s="334">
        <f>_xlfn.XLOOKUP(D147,Table!D:D,Table!AD:AD)</f>
        <v>26102.775187172509</v>
      </c>
      <c r="L147" s="334">
        <f t="shared" ref="L147:L148" si="34">SUM(G147:K147)*0.1</f>
        <v>37945.386801578636</v>
      </c>
      <c r="M147" s="334">
        <f t="shared" ref="M147:M148" si="35">SUM(G147:K147)*0.05</f>
        <v>18972.693400789318</v>
      </c>
      <c r="N147" s="436">
        <f t="shared" ref="N147:N148" si="36">SUM(G147:M147)</f>
        <v>436371.94821815431</v>
      </c>
      <c r="O147" s="442">
        <f>(LOOKUP(2024,Lists!$A$10:$A$15,Lists!$D$10:$D$15))*Table14569[[#This Row],[Total Estimate - Current FY]]</f>
        <v>456445.05783618946</v>
      </c>
      <c r="P147" s="334">
        <f>(LOOKUP(2025,Lists!$A$10:$A$15,Lists!$D$10:$D$15))*Table14569[[#This Row],[Total Estimate - Current FY]]</f>
        <v>475615.75026530941</v>
      </c>
      <c r="Q147" s="334">
        <f>(LOOKUP(2026,Lists!$A$10:$A$15,Lists!$D$10:$D$15))*Table14569[[#This Row],[Total Estimate - Current FY]]</f>
        <v>494640.38027592178</v>
      </c>
      <c r="R147" s="334">
        <f>(LOOKUP(2027,Lists!$A$10:$A$15,Lists!$D$10:$D$15))*Table14569[[#This Row],[Total Estimate - Current FY]]</f>
        <v>514425.99548695865</v>
      </c>
      <c r="S147" s="416">
        <f>(LOOKUP(2028,Lists!$A$10:$A$15,Lists!$D$10:$D$15))*Table14569[[#This Row],[Total Estimate - Current FY]]</f>
        <v>536031.88729741087</v>
      </c>
    </row>
    <row r="148" spans="2:19" x14ac:dyDescent="0.25">
      <c r="B148" s="415" t="s">
        <v>176</v>
      </c>
      <c r="C148" s="458" t="s">
        <v>378</v>
      </c>
      <c r="D148" s="263" t="str">
        <f t="shared" si="33"/>
        <v>55A-Access</v>
      </c>
      <c r="E148" s="402" t="str">
        <f>_xlfn.XLOOKUP(D148,Table!D:D,Table!E:E)</f>
        <v>Access Channel - General Benefit</v>
      </c>
      <c r="F148" s="406">
        <f>_xlfn.XLOOKUP(D148,Table!D:D,Table!S:S)</f>
        <v>644.85135729038268</v>
      </c>
      <c r="G148" s="334">
        <f>(AVERAGEIF(Table!F:F,E$144,Table!K:K))*F148</f>
        <v>381.76331724328043</v>
      </c>
      <c r="H148" s="334">
        <f>(SUMIF(Table!F:F,E$144,Table!L:L))/(COUNTIF(Table!F:F,E$144))</f>
        <v>224863.31071903999</v>
      </c>
      <c r="I148" s="334">
        <f>(AVERAGEIF(Table!F:F,E$144,Table!AA:AA))*F148</f>
        <v>27251.881739898974</v>
      </c>
      <c r="J148" s="334">
        <f>(AVERAGEIF(Table!F:F,E$144,Table!AI:AI))*F148</f>
        <v>2016.6392487525245</v>
      </c>
      <c r="K148" s="334">
        <f>_xlfn.XLOOKUP(D148,Table!D:D,Table!AD:AD)</f>
        <v>5372.1846456716248</v>
      </c>
      <c r="L148" s="334">
        <f t="shared" si="34"/>
        <v>25988.577967060643</v>
      </c>
      <c r="M148" s="334">
        <f t="shared" si="35"/>
        <v>12994.288983530321</v>
      </c>
      <c r="N148" s="436">
        <f t="shared" si="36"/>
        <v>298868.64662119735</v>
      </c>
      <c r="O148" s="442">
        <f>(LOOKUP(2024,Lists!$A$10:$A$15,Lists!$D$10:$D$15))*Table14569[[#This Row],[Total Estimate - Current FY]]</f>
        <v>312616.60436577245</v>
      </c>
      <c r="P148" s="334">
        <f>(LOOKUP(2025,Lists!$A$10:$A$15,Lists!$D$10:$D$15))*Table14569[[#This Row],[Total Estimate - Current FY]]</f>
        <v>325746.50174913491</v>
      </c>
      <c r="Q148" s="334">
        <f>(LOOKUP(2026,Lists!$A$10:$A$15,Lists!$D$10:$D$15))*Table14569[[#This Row],[Total Estimate - Current FY]]</f>
        <v>338776.36181910028</v>
      </c>
      <c r="R148" s="334">
        <f>(LOOKUP(2027,Lists!$A$10:$A$15,Lists!$D$10:$D$15))*Table14569[[#This Row],[Total Estimate - Current FY]]</f>
        <v>352327.4162918643</v>
      </c>
      <c r="S148" s="416">
        <f>(LOOKUP(2028,Lists!$A$10:$A$15,Lists!$D$10:$D$15))*Table14569[[#This Row],[Total Estimate - Current FY]]</f>
        <v>367125.16777612257</v>
      </c>
    </row>
    <row r="149" spans="2:19" x14ac:dyDescent="0.25">
      <c r="B149" s="415"/>
      <c r="F149" s="406"/>
      <c r="G149" s="334"/>
      <c r="H149" s="334"/>
      <c r="I149" s="334"/>
      <c r="J149" s="334"/>
      <c r="K149" s="334"/>
      <c r="L149" s="334"/>
      <c r="M149" s="334"/>
      <c r="N149" s="334"/>
      <c r="O149" s="415"/>
      <c r="S149" s="434"/>
    </row>
    <row r="150" spans="2:19" x14ac:dyDescent="0.25">
      <c r="B150" s="481">
        <f>E144</f>
        <v>7</v>
      </c>
      <c r="C150" s="482"/>
      <c r="D150" s="483"/>
      <c r="E150" s="405" t="s">
        <v>651</v>
      </c>
      <c r="F150" s="425">
        <f>SUMIF(Table14569[Classification],$E$150,Table14569[Estimated Dredge Quantities])</f>
        <v>3439.2771993426654</v>
      </c>
      <c r="G150" s="420">
        <f>SUMIF(Table14569[Classification],$E$150,Table14569[Insurance/Bonding])</f>
        <v>2036.1124431176211</v>
      </c>
      <c r="H150" s="420">
        <f>SUMIF(Table14569[Classification],$E$150,Table14569[Mob/Demob (LS)])</f>
        <v>449726.62143807998</v>
      </c>
      <c r="I150" s="420">
        <f>SUMIF(Table14569[Classification],$E$150,Table14569[Dredging &amp; Placement])</f>
        <v>145346.32585879977</v>
      </c>
      <c r="J150" s="420">
        <f>SUMIF(Table14569[Classification],$E$150,Table14569[Environmental Protection])</f>
        <v>10755.628113551184</v>
      </c>
      <c r="K150" s="420">
        <f>SUMIF(Table14569[Classification],$E$150,Table14569[Seagrass Transplanting &amp; Monitoring])</f>
        <v>31474.959832844135</v>
      </c>
      <c r="L150" s="420">
        <f>SUMIF(Table14569[Classification],$E$150,Table14569[Engineering Fees - Plans, Design &amp; Specs])</f>
        <v>63933.964768639278</v>
      </c>
      <c r="M150" s="420">
        <f>SUMIF(Table14569[Classification],$E$150,Table14569[Construction Administration])</f>
        <v>31966.982384319639</v>
      </c>
      <c r="N150" s="437">
        <f>SUMIF(Table14569[Classification],$E$150,Table14569[Total Estimate - Current FY])</f>
        <v>735240.59483935172</v>
      </c>
      <c r="O150" s="447">
        <f>(LOOKUP(2024,Lists!$A$10:$A$15,Lists!$D$10:$D$15))*N150</f>
        <v>769061.66220196197</v>
      </c>
      <c r="P150" s="448">
        <f>(LOOKUP(2025,Lists!$A$10:$A$15,Lists!$D$10:$D$15))*N150</f>
        <v>801362.25201444444</v>
      </c>
      <c r="Q150" s="448">
        <f>(LOOKUP(2026,Lists!$A$10:$A$15,Lists!$D$10:$D$15))*N150</f>
        <v>833416.74209502211</v>
      </c>
      <c r="R150" s="448">
        <f>(LOOKUP(2027,Lists!$A$10:$A$15,Lists!$D$10:$D$15))*N150</f>
        <v>866753.41177882301</v>
      </c>
      <c r="S150" s="449">
        <f>(LOOKUP(2028,Lists!$A$10:$A$15,Lists!$D$10:$D$15))*N150</f>
        <v>903157.05507353356</v>
      </c>
    </row>
    <row r="151" spans="2:19" hidden="1" x14ac:dyDescent="0.25">
      <c r="B151" s="484"/>
      <c r="C151" s="485"/>
      <c r="D151" s="486"/>
      <c r="E151" s="402" t="s">
        <v>689</v>
      </c>
      <c r="F151" s="426">
        <f>SUMIF(Table14569[Classification],$E$151,Table14569[Estimated Dredge Quantities])</f>
        <v>0</v>
      </c>
      <c r="G151" s="422">
        <f>SUMIF(Table14569[Classification],$E$151,Table14569[Insurance/Bonding])</f>
        <v>0</v>
      </c>
      <c r="H151" s="422">
        <f>SUMIF(Table14569[Classification],$E$151,Table14569[Mob/Demob (LS)])</f>
        <v>0</v>
      </c>
      <c r="I151" s="422">
        <f>SUMIF(Table14569[Classification],$E$151,Table14569[Dredging &amp; Placement])</f>
        <v>0</v>
      </c>
      <c r="J151" s="422">
        <f>SUMIF(Table14569[Classification],$E$151,Table14569[Environmental Protection])</f>
        <v>0</v>
      </c>
      <c r="K151" s="422">
        <f>SUMIF(Table14569[Classification],$E$151,Table14569[Seagrass Transplanting &amp; Monitoring])</f>
        <v>0</v>
      </c>
      <c r="L151" s="422">
        <f>SUMIF(Table14569[Classification],$E$151,Table14569[Engineering Fees - Plans, Design &amp; Specs])</f>
        <v>0</v>
      </c>
      <c r="M151" s="422">
        <f>SUMIF(Table14569[Classification],$E$151,Table14569[Construction Administration])</f>
        <v>0</v>
      </c>
      <c r="N151" s="438">
        <f>SUMIF(Table14569[Classification],$E$151,Table14569[Total Estimate - Current FY])</f>
        <v>0</v>
      </c>
      <c r="O151" s="450">
        <f>(LOOKUP(2024,Lists!$A$10:$A$15,Lists!$D$10:$D$15))*N151</f>
        <v>0</v>
      </c>
      <c r="P151" s="451">
        <f>(LOOKUP(2025,Lists!$A$10:$A$15,Lists!$D$10:$D$15))*N151</f>
        <v>0</v>
      </c>
      <c r="Q151" s="451">
        <f>(LOOKUP(2026,Lists!$A$10:$A$15,Lists!$D$10:$D$15))*N151</f>
        <v>0</v>
      </c>
      <c r="R151" s="451">
        <f>(LOOKUP(2027,Lists!$A$10:$A$15,Lists!$D$10:$D$15))*N151</f>
        <v>0</v>
      </c>
      <c r="S151" s="452">
        <f>(LOOKUP(2028,Lists!$A$10:$A$15,Lists!$D$10:$D$15))*N151</f>
        <v>0</v>
      </c>
    </row>
    <row r="152" spans="2:19" ht="15.75" thickBot="1" x14ac:dyDescent="0.3">
      <c r="B152" s="487"/>
      <c r="C152" s="488"/>
      <c r="D152" s="489"/>
      <c r="E152" s="418" t="s">
        <v>650</v>
      </c>
      <c r="F152" s="435">
        <f>SUMIF(Table14569[Classification],$E$152,Table14569[Estimated Dredge Quantities])</f>
        <v>3019.9327527669843</v>
      </c>
      <c r="G152" s="424">
        <f>SUMIF(Table14569[Classification],$E$152,Table14569[Insurance/Bonding])</f>
        <v>1787.8531734698572</v>
      </c>
      <c r="H152" s="424">
        <f>SUMIF(Table14569[Classification],$E$152,Table14569[Mob/Demob (LS)])</f>
        <v>224863.31071903999</v>
      </c>
      <c r="I152" s="424">
        <f>SUMIF(Table14569[Classification],$E$152,Table14569[Dredging &amp; Placement])</f>
        <v>127624.52821169062</v>
      </c>
      <c r="J152" s="424">
        <f>SUMIF(Table14569[Classification],$E$152,Table14569[Environmental Protection])</f>
        <v>9444.2150876651067</v>
      </c>
      <c r="K152" s="424">
        <f>SUMIF(Table14569[Classification],$E$152,Table14569[Seagrass Transplanting &amp; Monitoring])</f>
        <v>28209.238742210557</v>
      </c>
      <c r="L152" s="424">
        <f>SUMIF(Table14569[Classification],$E$152,Table14569[Engineering Fees - Plans, Design &amp; Specs])</f>
        <v>39192.914593407615</v>
      </c>
      <c r="M152" s="424">
        <f>SUMIF(Table14569[Classification],$E$152,Table14569[Construction Administration])</f>
        <v>19596.457296703808</v>
      </c>
      <c r="N152" s="439">
        <f>SUMIF(Table14569[Classification],$E$152,Table14569[Total Estimate - Current FY])</f>
        <v>450718.51782418758</v>
      </c>
      <c r="O152" s="453">
        <f>(LOOKUP(2024,Lists!$A$10:$A$15,Lists!$D$10:$D$15))*N152</f>
        <v>471451.56964410021</v>
      </c>
      <c r="P152" s="454">
        <f>(LOOKUP(2025,Lists!$A$10:$A$15,Lists!$D$10:$D$15))*N152</f>
        <v>491252.5355691525</v>
      </c>
      <c r="Q152" s="454">
        <f>(LOOKUP(2026,Lists!$A$10:$A$15,Lists!$D$10:$D$15))*N152</f>
        <v>510902.63699191855</v>
      </c>
      <c r="R152" s="454">
        <f>(LOOKUP(2027,Lists!$A$10:$A$15,Lists!$D$10:$D$15))*N152</f>
        <v>531338.74247159529</v>
      </c>
      <c r="S152" s="455">
        <f>(LOOKUP(2028,Lists!$A$10:$A$15,Lists!$D$10:$D$15))*N152</f>
        <v>553654.96965540224</v>
      </c>
    </row>
  </sheetData>
  <mergeCells count="14">
    <mergeCell ref="B90:D92"/>
    <mergeCell ref="B140:D142"/>
    <mergeCell ref="B150:D152"/>
    <mergeCell ref="O4:S4"/>
    <mergeCell ref="O27:S27"/>
    <mergeCell ref="O52:S52"/>
    <mergeCell ref="O71:S71"/>
    <mergeCell ref="O116:S116"/>
    <mergeCell ref="O144:S144"/>
    <mergeCell ref="B48:D50"/>
    <mergeCell ref="B67:D69"/>
    <mergeCell ref="B23:D25"/>
    <mergeCell ref="O94:S94"/>
    <mergeCell ref="B112:D114"/>
  </mergeCells>
  <conditionalFormatting sqref="E2 E4:E1048576">
    <cfRule type="containsText" dxfId="148" priority="6" operator="containsText" text="Access Channel - General Benefit">
      <formula>NOT(ISERROR(SEARCH("Access Channel - General Benefit",E2)))</formula>
    </cfRule>
    <cfRule type="containsText" dxfId="147" priority="7" operator="containsText" text="Arterial Channel - Cost Share Benefit">
      <formula>NOT(ISERROR(SEARCH("Arterial Channel - Cost Share Benefit",E2)))</formula>
    </cfRule>
    <cfRule type="containsText" dxfId="146" priority="8" operator="containsText" text="Local Canal - Direct Benefit">
      <formula>NOT(ISERROR(SEARCH("Local Canal - Direct Benefit",E2)))</formula>
    </cfRule>
  </conditionalFormatting>
  <printOptions horizontalCentered="1" verticalCentered="1"/>
  <pageMargins left="0.7" right="0.7" top="0.75" bottom="0.75" header="0.3" footer="0.3"/>
  <pageSetup paperSize="119" scale="55" fitToHeight="0" orientation="landscape" horizontalDpi="1200" verticalDpi="1200" r:id="rId1"/>
  <headerFooter>
    <oddHeader>&amp;LLongboat Key Probable Costs per Canal</oddHeader>
  </headerFooter>
  <rowBreaks count="2" manualBreakCount="2">
    <brk id="70" min="1" max="18" man="1"/>
    <brk id="143" min="1" max="18" man="1"/>
  </rowBreaks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DF1D-52CC-4D2A-ABD1-D2C693976858}">
  <sheetPr>
    <tabColor theme="7"/>
    <pageSetUpPr fitToPage="1"/>
  </sheetPr>
  <dimension ref="A1:W53"/>
  <sheetViews>
    <sheetView topLeftCell="A3" zoomScaleNormal="100" workbookViewId="0">
      <selection activeCell="A25" sqref="A25"/>
    </sheetView>
  </sheetViews>
  <sheetFormatPr defaultColWidth="10.7109375" defaultRowHeight="15" x14ac:dyDescent="0.25"/>
  <cols>
    <col min="1" max="1" width="34.140625" style="62" bestFit="1" customWidth="1"/>
    <col min="2" max="2" width="7.5703125" style="62" customWidth="1"/>
    <col min="3" max="3" width="6.28515625" style="62" bestFit="1" customWidth="1"/>
    <col min="4" max="4" width="7.5703125" style="62" bestFit="1" customWidth="1"/>
    <col min="5" max="5" width="13.28515625" style="62" bestFit="1" customWidth="1"/>
    <col min="6" max="6" width="12.28515625" style="62" bestFit="1" customWidth="1"/>
    <col min="7" max="7" width="11" style="62" bestFit="1" customWidth="1"/>
    <col min="8" max="8" width="11" style="227" customWidth="1"/>
    <col min="9" max="9" width="23" style="62" customWidth="1"/>
    <col min="10" max="10" width="13" style="62" bestFit="1" customWidth="1"/>
    <col min="11" max="11" width="12" style="62" bestFit="1" customWidth="1"/>
    <col min="12" max="12" width="11.7109375" style="62" bestFit="1" customWidth="1"/>
    <col min="13" max="13" width="9.85546875" style="62" customWidth="1"/>
    <col min="14" max="14" width="10.7109375" style="62"/>
    <col min="15" max="15" width="12.42578125" style="62" bestFit="1" customWidth="1"/>
    <col min="16" max="16384" width="10.7109375" style="62"/>
  </cols>
  <sheetData>
    <row r="1" spans="1:23" ht="15.75" thickBot="1" x14ac:dyDescent="0.3">
      <c r="A1" s="139" t="s">
        <v>474</v>
      </c>
      <c r="B1" s="65"/>
      <c r="C1" s="65"/>
      <c r="D1" s="65"/>
      <c r="E1" s="65"/>
      <c r="F1" s="65"/>
      <c r="G1" s="65"/>
      <c r="H1" s="224"/>
      <c r="I1" s="65"/>
      <c r="J1" s="65"/>
      <c r="K1" s="65"/>
      <c r="L1" s="65"/>
      <c r="M1" s="65"/>
      <c r="N1" s="65"/>
      <c r="O1" s="65"/>
    </row>
    <row r="2" spans="1:23" ht="15.75" thickTop="1" x14ac:dyDescent="0.25">
      <c r="A2" s="138" t="s">
        <v>473</v>
      </c>
      <c r="B2" s="243" t="s">
        <v>472</v>
      </c>
      <c r="C2" s="243"/>
      <c r="D2" s="243"/>
      <c r="E2" s="243"/>
      <c r="F2" s="243"/>
      <c r="G2" s="244"/>
      <c r="H2" s="225"/>
      <c r="I2" s="136"/>
      <c r="J2" s="135"/>
      <c r="K2" s="135"/>
      <c r="L2" s="135"/>
      <c r="M2" s="135"/>
      <c r="N2" s="135"/>
      <c r="O2" s="134"/>
    </row>
    <row r="3" spans="1:23" ht="15.75" thickBot="1" x14ac:dyDescent="0.3">
      <c r="A3" s="133" t="s">
        <v>471</v>
      </c>
      <c r="B3" s="245" t="s">
        <v>470</v>
      </c>
      <c r="C3" s="245"/>
      <c r="D3" s="245"/>
      <c r="E3" s="245"/>
      <c r="F3" s="245"/>
      <c r="G3" s="246"/>
      <c r="H3" s="226"/>
      <c r="I3" s="131"/>
      <c r="J3" s="130"/>
      <c r="K3" s="130"/>
      <c r="L3" s="130"/>
      <c r="M3" s="130"/>
      <c r="N3" s="130"/>
      <c r="O3" s="129"/>
    </row>
    <row r="4" spans="1:23" ht="16.5" thickTop="1" thickBot="1" x14ac:dyDescent="0.3">
      <c r="J4" s="62" t="s">
        <v>469</v>
      </c>
      <c r="K4" s="200">
        <v>2.2400000000000002</v>
      </c>
      <c r="N4" s="62" t="s">
        <v>468</v>
      </c>
      <c r="O4" s="62">
        <v>1</v>
      </c>
    </row>
    <row r="5" spans="1:23" ht="15.75" thickTop="1" x14ac:dyDescent="0.25">
      <c r="A5" s="106"/>
      <c r="B5" s="105" t="s">
        <v>447</v>
      </c>
      <c r="C5" s="105" t="s">
        <v>446</v>
      </c>
      <c r="D5" s="105" t="s">
        <v>445</v>
      </c>
      <c r="E5" s="519" t="s">
        <v>444</v>
      </c>
      <c r="F5" s="519"/>
      <c r="G5" s="520"/>
      <c r="H5" s="228"/>
      <c r="I5" s="519" t="s">
        <v>443</v>
      </c>
      <c r="J5" s="520"/>
      <c r="K5" s="105" t="s">
        <v>442</v>
      </c>
      <c r="L5" s="105" t="s">
        <v>441</v>
      </c>
      <c r="M5" s="105" t="s">
        <v>440</v>
      </c>
      <c r="N5" s="105" t="s">
        <v>439</v>
      </c>
      <c r="O5" s="104" t="s">
        <v>428</v>
      </c>
    </row>
    <row r="6" spans="1:23" ht="15.75" thickBot="1" x14ac:dyDescent="0.3">
      <c r="A6" s="103"/>
      <c r="B6" s="101"/>
      <c r="C6" s="101"/>
      <c r="D6" s="101"/>
      <c r="E6" s="65" t="s">
        <v>438</v>
      </c>
      <c r="F6" s="65" t="s">
        <v>437</v>
      </c>
      <c r="G6" s="102"/>
      <c r="H6" s="229" t="s">
        <v>561</v>
      </c>
      <c r="I6" s="223" t="s">
        <v>560</v>
      </c>
      <c r="J6" s="102" t="s">
        <v>435</v>
      </c>
      <c r="K6" s="101"/>
      <c r="L6" s="101"/>
      <c r="M6" s="101"/>
      <c r="N6" s="101"/>
      <c r="O6" s="100"/>
      <c r="Q6" s="126"/>
      <c r="R6" s="126"/>
      <c r="S6" s="126"/>
      <c r="T6" s="126"/>
      <c r="U6" s="126"/>
      <c r="V6" s="128" t="s">
        <v>467</v>
      </c>
      <c r="W6" s="126"/>
    </row>
    <row r="7" spans="1:23" ht="15.75" thickTop="1" x14ac:dyDescent="0.25">
      <c r="A7" s="127" t="s">
        <v>466</v>
      </c>
      <c r="B7" s="83"/>
      <c r="C7" s="83"/>
      <c r="D7" s="83"/>
      <c r="G7" s="84"/>
      <c r="J7" s="84"/>
      <c r="K7" s="83"/>
      <c r="L7" s="83"/>
      <c r="M7" s="83"/>
      <c r="N7" s="83"/>
      <c r="O7" s="84"/>
      <c r="Q7" s="126" t="s">
        <v>465</v>
      </c>
      <c r="R7" s="126"/>
      <c r="S7" s="126"/>
      <c r="T7" s="126"/>
      <c r="U7" s="126"/>
      <c r="V7" s="126" t="s">
        <v>464</v>
      </c>
      <c r="W7" s="126"/>
    </row>
    <row r="8" spans="1:23" x14ac:dyDescent="0.25">
      <c r="A8" s="201" t="s">
        <v>558</v>
      </c>
      <c r="B8" s="235">
        <v>1</v>
      </c>
      <c r="C8" s="202"/>
      <c r="D8" s="202">
        <v>12</v>
      </c>
      <c r="E8" s="215"/>
      <c r="F8" s="215"/>
      <c r="G8" s="208"/>
      <c r="H8" s="234">
        <v>0.75</v>
      </c>
      <c r="I8" s="206">
        <f>((0.04807931/2)*650)*H8</f>
        <v>11.7193318125</v>
      </c>
      <c r="J8" s="80">
        <f>K$4*I8*D8*B8</f>
        <v>315.01563912000006</v>
      </c>
      <c r="K8" s="213">
        <v>600</v>
      </c>
      <c r="L8" s="214">
        <v>200</v>
      </c>
      <c r="M8" s="214">
        <v>100</v>
      </c>
      <c r="N8" s="83"/>
      <c r="O8" s="80">
        <f>SUM(N8,M8,L8,K8,J8,G8)</f>
        <v>1215.0156391200001</v>
      </c>
      <c r="Q8" s="126" t="s">
        <v>463</v>
      </c>
      <c r="R8" s="126"/>
      <c r="S8" s="126"/>
      <c r="T8" s="126"/>
      <c r="U8" s="126"/>
      <c r="V8" s="126">
        <f>62*12</f>
        <v>744</v>
      </c>
      <c r="W8" s="126"/>
    </row>
    <row r="9" spans="1:23" x14ac:dyDescent="0.25">
      <c r="A9" s="201" t="s">
        <v>462</v>
      </c>
      <c r="B9" s="202">
        <v>1</v>
      </c>
      <c r="C9" s="202"/>
      <c r="D9" s="202">
        <v>12</v>
      </c>
      <c r="E9" s="215"/>
      <c r="F9" s="215"/>
      <c r="G9" s="208"/>
      <c r="I9" s="118">
        <v>5</v>
      </c>
      <c r="J9" s="80">
        <f>K$4*I9*D9*B9</f>
        <v>134.4</v>
      </c>
      <c r="K9" s="213">
        <v>250</v>
      </c>
      <c r="L9" s="214">
        <v>200</v>
      </c>
      <c r="M9" s="214">
        <v>100</v>
      </c>
      <c r="N9" s="83"/>
      <c r="O9" s="80">
        <f>SUM(I9:M9)</f>
        <v>689.4</v>
      </c>
      <c r="Q9" s="126" t="s">
        <v>461</v>
      </c>
      <c r="R9" s="126"/>
      <c r="S9" s="126"/>
      <c r="T9" s="126"/>
      <c r="U9" s="126"/>
      <c r="V9" s="126">
        <f>37*12</f>
        <v>444</v>
      </c>
      <c r="W9" s="126"/>
    </row>
    <row r="10" spans="1:23" x14ac:dyDescent="0.25">
      <c r="A10" s="117" t="s">
        <v>433</v>
      </c>
      <c r="B10" s="202"/>
      <c r="C10" s="202">
        <v>1</v>
      </c>
      <c r="D10" s="202">
        <v>12</v>
      </c>
      <c r="E10" s="200">
        <v>120</v>
      </c>
      <c r="F10" s="81">
        <f>Labor!I14</f>
        <v>32.472299999999997</v>
      </c>
      <c r="G10" s="80">
        <f>((F10*D10)+E10)*C10</f>
        <v>509.66759999999999</v>
      </c>
      <c r="I10" s="207"/>
      <c r="J10" s="208"/>
      <c r="K10" s="209"/>
      <c r="L10" s="209"/>
      <c r="M10" s="209"/>
      <c r="N10" s="78">
        <f>0.01*G10</f>
        <v>5.0966760000000004</v>
      </c>
      <c r="O10" s="80">
        <f>SUM(N10,M10,L10,K10,J10,G10)*C10</f>
        <v>514.764276</v>
      </c>
      <c r="Q10" s="126"/>
      <c r="R10" s="126"/>
      <c r="S10" s="126"/>
      <c r="T10" s="126"/>
      <c r="U10" s="126"/>
      <c r="V10" s="126"/>
      <c r="W10" s="126"/>
    </row>
    <row r="11" spans="1:23" x14ac:dyDescent="0.25">
      <c r="A11" s="117" t="s">
        <v>429</v>
      </c>
      <c r="B11" s="202"/>
      <c r="C11" s="202">
        <v>1</v>
      </c>
      <c r="D11" s="202">
        <v>12</v>
      </c>
      <c r="E11" s="200">
        <v>120</v>
      </c>
      <c r="F11" s="81">
        <f>Labor!I16</f>
        <v>27.06025</v>
      </c>
      <c r="G11" s="80">
        <f>((F11*D11)+E11)*C11</f>
        <v>444.72300000000001</v>
      </c>
      <c r="I11" s="207"/>
      <c r="J11" s="208"/>
      <c r="K11" s="209"/>
      <c r="L11" s="209"/>
      <c r="M11" s="209"/>
      <c r="N11" s="78">
        <f>0.01*G11</f>
        <v>4.4472300000000002</v>
      </c>
      <c r="O11" s="80">
        <f>SUM(N11,M11,L11,K11,J11,G11)*C11</f>
        <v>449.17023</v>
      </c>
      <c r="Q11" s="126" t="s">
        <v>460</v>
      </c>
      <c r="R11" s="126"/>
      <c r="S11" s="126"/>
      <c r="T11" s="126"/>
      <c r="U11" s="126"/>
      <c r="V11" s="126"/>
      <c r="W11" s="126"/>
    </row>
    <row r="12" spans="1:23" ht="15.75" thickBot="1" x14ac:dyDescent="0.3">
      <c r="A12" s="116" t="s">
        <v>432</v>
      </c>
      <c r="B12" s="203"/>
      <c r="C12" s="203">
        <v>1</v>
      </c>
      <c r="D12" s="203">
        <v>12</v>
      </c>
      <c r="E12" s="204">
        <v>120</v>
      </c>
      <c r="F12" s="76">
        <f>Labor!I14</f>
        <v>32.472299999999997</v>
      </c>
      <c r="G12" s="75">
        <f>((F12*D12)+E12)*C12</f>
        <v>509.66759999999999</v>
      </c>
      <c r="H12" s="224"/>
      <c r="I12" s="210"/>
      <c r="J12" s="211"/>
      <c r="K12" s="212"/>
      <c r="L12" s="212"/>
      <c r="M12" s="212"/>
      <c r="N12" s="73">
        <f>0.01*G12</f>
        <v>5.0966760000000004</v>
      </c>
      <c r="O12" s="75">
        <f>SUM(N12,M12,L12,K12,J12,G12)*C12</f>
        <v>514.764276</v>
      </c>
      <c r="Q12" s="126" t="s">
        <v>459</v>
      </c>
      <c r="R12" s="126"/>
      <c r="S12" s="126"/>
      <c r="T12" s="126"/>
      <c r="U12" s="126"/>
      <c r="V12" s="126"/>
      <c r="W12" s="126"/>
    </row>
    <row r="13" spans="1:23" ht="15.75" thickTop="1" x14ac:dyDescent="0.25">
      <c r="A13" s="125"/>
      <c r="B13" s="110"/>
      <c r="C13" s="110"/>
      <c r="D13" s="110"/>
      <c r="O13" s="80">
        <f>SUM(O8:O12)</f>
        <v>3383.1144211199999</v>
      </c>
    </row>
    <row r="14" spans="1:23" x14ac:dyDescent="0.25">
      <c r="A14" s="124" t="s">
        <v>431</v>
      </c>
      <c r="B14" s="98"/>
      <c r="C14" s="89"/>
      <c r="D14" s="98"/>
      <c r="E14" s="87"/>
      <c r="F14" s="87"/>
      <c r="G14" s="119"/>
      <c r="H14" s="230"/>
      <c r="I14" s="87"/>
      <c r="J14" s="87"/>
      <c r="K14" s="86"/>
      <c r="L14" s="86"/>
      <c r="M14" s="86"/>
      <c r="N14" s="86"/>
      <c r="O14" s="97"/>
    </row>
    <row r="15" spans="1:23" x14ac:dyDescent="0.25">
      <c r="A15" s="201" t="s">
        <v>559</v>
      </c>
      <c r="B15" s="202">
        <v>1</v>
      </c>
      <c r="C15" s="205"/>
      <c r="D15" s="202">
        <v>12</v>
      </c>
      <c r="E15" s="215"/>
      <c r="F15" s="215"/>
      <c r="G15" s="208"/>
      <c r="H15" s="234">
        <v>0.75</v>
      </c>
      <c r="I15" s="206">
        <f>((0.04807931/2)*300)*H15</f>
        <v>5.4089223749999995</v>
      </c>
      <c r="J15" s="80">
        <f>K$4*I15*D15*B15</f>
        <v>145.39183344</v>
      </c>
      <c r="K15" s="213">
        <v>1000</v>
      </c>
      <c r="L15" s="214">
        <v>200</v>
      </c>
      <c r="M15" s="214">
        <v>100</v>
      </c>
      <c r="N15" s="83"/>
      <c r="O15" s="80">
        <f>SUM(N15,M15,L15,K15,J15,G15)*B15</f>
        <v>1445.39183344</v>
      </c>
    </row>
    <row r="16" spans="1:23" x14ac:dyDescent="0.25">
      <c r="A16" s="117" t="s">
        <v>430</v>
      </c>
      <c r="B16" s="202"/>
      <c r="C16" s="202">
        <v>1</v>
      </c>
      <c r="D16" s="202">
        <v>12</v>
      </c>
      <c r="E16" s="200">
        <v>120</v>
      </c>
      <c r="F16" s="81">
        <f>Labor!I15</f>
        <v>30.848684999999996</v>
      </c>
      <c r="G16" s="80">
        <f>((F16*D16)+E16)*C16</f>
        <v>490.18421999999998</v>
      </c>
      <c r="I16" s="215"/>
      <c r="J16" s="216"/>
      <c r="K16" s="217"/>
      <c r="L16" s="218"/>
      <c r="M16" s="218"/>
      <c r="N16" s="78">
        <f>0.01*G16</f>
        <v>4.9018421999999999</v>
      </c>
      <c r="O16" s="80">
        <f>SUM(N16,M16,L16,K16,J16,G16)*C16</f>
        <v>495.08606219999996</v>
      </c>
    </row>
    <row r="17" spans="1:15" ht="15.75" thickBot="1" x14ac:dyDescent="0.3">
      <c r="A17" s="116" t="s">
        <v>429</v>
      </c>
      <c r="B17" s="203"/>
      <c r="C17" s="203">
        <v>1</v>
      </c>
      <c r="D17" s="203">
        <v>12</v>
      </c>
      <c r="E17" s="204">
        <v>120</v>
      </c>
      <c r="F17" s="76">
        <f>Labor!I16</f>
        <v>27.06025</v>
      </c>
      <c r="G17" s="75">
        <f>((F17*D17)+E17)*C17</f>
        <v>444.72300000000001</v>
      </c>
      <c r="H17" s="224"/>
      <c r="I17" s="219"/>
      <c r="J17" s="220"/>
      <c r="K17" s="221"/>
      <c r="L17" s="222"/>
      <c r="M17" s="222"/>
      <c r="N17" s="73">
        <f>0.01*G17</f>
        <v>4.4472300000000002</v>
      </c>
      <c r="O17" s="75">
        <f>SUM(N17,M17,L17,K17,J17,G17)*C17</f>
        <v>449.17023</v>
      </c>
    </row>
    <row r="18" spans="1:15" ht="15.75" thickTop="1" x14ac:dyDescent="0.25">
      <c r="A18" s="123"/>
      <c r="B18" s="94"/>
      <c r="C18" s="94"/>
      <c r="D18" s="94"/>
      <c r="E18" s="93"/>
      <c r="F18" s="93"/>
      <c r="G18" s="92"/>
      <c r="H18" s="231"/>
      <c r="I18" s="92"/>
      <c r="J18" s="92"/>
      <c r="K18" s="92"/>
      <c r="L18" s="92"/>
      <c r="M18" s="92"/>
      <c r="N18" s="92"/>
      <c r="O18" s="111">
        <f>SUM(O15:O17)</f>
        <v>2389.6481256400002</v>
      </c>
    </row>
    <row r="19" spans="1:15" x14ac:dyDescent="0.25">
      <c r="A19" s="122" t="s">
        <v>458</v>
      </c>
      <c r="B19" s="89"/>
      <c r="C19" s="98"/>
      <c r="D19" s="89"/>
      <c r="E19" s="86"/>
      <c r="F19" s="87"/>
      <c r="G19" s="119"/>
      <c r="H19" s="230"/>
      <c r="I19" s="87"/>
      <c r="J19" s="119"/>
      <c r="K19" s="87"/>
      <c r="L19" s="97"/>
      <c r="M19" s="97"/>
      <c r="N19" s="97"/>
      <c r="O19" s="97"/>
    </row>
    <row r="20" spans="1:15" x14ac:dyDescent="0.25">
      <c r="A20" s="117" t="s">
        <v>457</v>
      </c>
      <c r="B20" s="202">
        <v>1</v>
      </c>
      <c r="C20" s="202"/>
      <c r="D20" s="202">
        <v>12</v>
      </c>
      <c r="E20" s="215"/>
      <c r="F20" s="215"/>
      <c r="G20" s="208"/>
      <c r="I20" s="118">
        <v>2</v>
      </c>
      <c r="J20" s="80">
        <f>K$4*I20*D20*B20</f>
        <v>53.760000000000005</v>
      </c>
      <c r="K20" s="213">
        <v>250</v>
      </c>
      <c r="L20" s="214">
        <v>200</v>
      </c>
      <c r="M20" s="214">
        <v>100</v>
      </c>
      <c r="N20" s="83"/>
      <c r="O20" s="80">
        <f>SUM(N20,M20,L20,K20,J20,G20)</f>
        <v>603.76</v>
      </c>
    </row>
    <row r="21" spans="1:15" x14ac:dyDescent="0.25">
      <c r="A21" s="117" t="s">
        <v>456</v>
      </c>
      <c r="B21" s="202">
        <v>1</v>
      </c>
      <c r="C21" s="202"/>
      <c r="D21" s="202">
        <v>6</v>
      </c>
      <c r="E21" s="215"/>
      <c r="F21" s="215"/>
      <c r="G21" s="208"/>
      <c r="I21" s="118">
        <v>5</v>
      </c>
      <c r="J21" s="80">
        <f>K$4*I21*D21*B21</f>
        <v>67.2</v>
      </c>
      <c r="K21" s="213">
        <v>50</v>
      </c>
      <c r="L21" s="214"/>
      <c r="M21" s="214"/>
      <c r="N21" s="83"/>
      <c r="O21" s="80">
        <f>SUM(N21,M21,L21,K21,J21)</f>
        <v>117.2</v>
      </c>
    </row>
    <row r="22" spans="1:15" x14ac:dyDescent="0.25">
      <c r="A22" s="117" t="s">
        <v>429</v>
      </c>
      <c r="B22" s="202"/>
      <c r="C22" s="202">
        <v>1</v>
      </c>
      <c r="D22" s="202">
        <v>12</v>
      </c>
      <c r="E22" s="200">
        <v>120</v>
      </c>
      <c r="F22" s="81">
        <f>Labor!I16</f>
        <v>27.06025</v>
      </c>
      <c r="G22" s="80">
        <f>((F22*D22)+E22)*C22</f>
        <v>444.72300000000001</v>
      </c>
      <c r="I22" s="215"/>
      <c r="J22" s="216"/>
      <c r="K22" s="217"/>
      <c r="L22" s="218"/>
      <c r="M22" s="218"/>
      <c r="N22" s="78">
        <f>0.01*G22</f>
        <v>4.4472300000000002</v>
      </c>
      <c r="O22" s="80">
        <f>SUM(N22,M22,L22,K22,J22,G22)*C22</f>
        <v>449.17023</v>
      </c>
    </row>
    <row r="23" spans="1:15" ht="15.75" thickBot="1" x14ac:dyDescent="0.3">
      <c r="A23" s="116" t="s">
        <v>455</v>
      </c>
      <c r="B23" s="203"/>
      <c r="C23" s="203">
        <v>1</v>
      </c>
      <c r="D23" s="203">
        <v>12</v>
      </c>
      <c r="E23" s="204">
        <v>120</v>
      </c>
      <c r="F23" s="76">
        <f>Labor!I14</f>
        <v>32.472299999999997</v>
      </c>
      <c r="G23" s="75">
        <f>((F23*D23)+E23)*C23</f>
        <v>509.66759999999999</v>
      </c>
      <c r="H23" s="224"/>
      <c r="I23" s="219"/>
      <c r="J23" s="220"/>
      <c r="K23" s="221"/>
      <c r="L23" s="222"/>
      <c r="M23" s="222"/>
      <c r="N23" s="73">
        <f>0.01*G23</f>
        <v>5.0966760000000004</v>
      </c>
      <c r="O23" s="75">
        <f>SUM(N23,M23,L23,K23,J23,G23)*C23</f>
        <v>514.764276</v>
      </c>
    </row>
    <row r="24" spans="1:15" ht="15.75" thickTop="1" x14ac:dyDescent="0.25">
      <c r="A24" s="112"/>
      <c r="B24" s="94"/>
      <c r="C24" s="94"/>
      <c r="D24" s="94"/>
      <c r="E24" s="93"/>
      <c r="F24" s="93"/>
      <c r="G24" s="92"/>
      <c r="H24" s="231"/>
      <c r="I24" s="121"/>
      <c r="J24" s="92"/>
      <c r="K24" s="92"/>
      <c r="L24" s="92"/>
      <c r="M24" s="92"/>
      <c r="N24" s="92"/>
      <c r="O24" s="111">
        <f>SUM(O20:O23)</f>
        <v>1684.8945060000001</v>
      </c>
    </row>
    <row r="25" spans="1:15" x14ac:dyDescent="0.25">
      <c r="A25" s="120" t="s">
        <v>636</v>
      </c>
      <c r="B25" s="98"/>
      <c r="C25" s="110"/>
      <c r="D25" s="88"/>
      <c r="E25" s="86"/>
      <c r="G25" s="119"/>
      <c r="K25" s="97"/>
      <c r="M25" s="86"/>
      <c r="N25" s="86"/>
      <c r="O25" s="86"/>
    </row>
    <row r="26" spans="1:15" x14ac:dyDescent="0.25">
      <c r="A26" s="117" t="s">
        <v>454</v>
      </c>
      <c r="B26" s="202">
        <v>1</v>
      </c>
      <c r="C26" s="202"/>
      <c r="D26" s="202">
        <v>12</v>
      </c>
      <c r="E26" s="215"/>
      <c r="F26" s="215"/>
      <c r="G26" s="208"/>
      <c r="I26" s="118">
        <v>100</v>
      </c>
      <c r="J26" s="80">
        <f>I26*K4</f>
        <v>224.00000000000003</v>
      </c>
      <c r="K26" s="79">
        <v>800</v>
      </c>
      <c r="L26" s="78">
        <v>500</v>
      </c>
      <c r="M26" s="78">
        <v>250</v>
      </c>
      <c r="N26" s="83"/>
      <c r="O26" s="80">
        <f>SUM(N26,M26,L26,K26,J26,G26)*B26</f>
        <v>1774</v>
      </c>
    </row>
    <row r="27" spans="1:15" x14ac:dyDescent="0.25">
      <c r="A27" s="117" t="s">
        <v>453</v>
      </c>
      <c r="B27" s="202"/>
      <c r="C27" s="202">
        <v>1</v>
      </c>
      <c r="D27" s="202">
        <v>12</v>
      </c>
      <c r="E27" s="81">
        <v>120</v>
      </c>
      <c r="F27" s="81">
        <f>Labor!I14</f>
        <v>32.472299999999997</v>
      </c>
      <c r="G27" s="80">
        <f>(F27*D27)+E27</f>
        <v>509.66759999999999</v>
      </c>
      <c r="I27" s="215"/>
      <c r="J27" s="216"/>
      <c r="K27" s="217"/>
      <c r="L27" s="218"/>
      <c r="M27" s="218"/>
      <c r="N27" s="78">
        <f>0.01*G27</f>
        <v>5.0966760000000004</v>
      </c>
      <c r="O27" s="80">
        <f>SUM(N27,M27,L27,K27,J27,G27)*C27</f>
        <v>514.764276</v>
      </c>
    </row>
    <row r="28" spans="1:15" x14ac:dyDescent="0.25">
      <c r="A28" s="201" t="s">
        <v>563</v>
      </c>
      <c r="B28" s="202"/>
      <c r="C28" s="202">
        <v>4</v>
      </c>
      <c r="D28" s="202">
        <v>12</v>
      </c>
      <c r="E28" s="81">
        <v>120</v>
      </c>
      <c r="F28" s="81">
        <f>Labor!I14</f>
        <v>32.472299999999997</v>
      </c>
      <c r="G28" s="80">
        <f>(F28*D28)+E28</f>
        <v>509.66759999999999</v>
      </c>
      <c r="I28" s="215"/>
      <c r="J28" s="216"/>
      <c r="K28" s="217"/>
      <c r="L28" s="218"/>
      <c r="M28" s="218"/>
      <c r="N28" s="78">
        <f>0.01*G28</f>
        <v>5.0966760000000004</v>
      </c>
      <c r="O28" s="80">
        <f>SUM(N28,M28,L28,K28,J28,G28)*C28</f>
        <v>2059.057104</v>
      </c>
    </row>
    <row r="29" spans="1:15" x14ac:dyDescent="0.25">
      <c r="A29" s="117" t="s">
        <v>452</v>
      </c>
      <c r="B29" s="202"/>
      <c r="C29" s="202">
        <v>3</v>
      </c>
      <c r="D29" s="202">
        <v>12</v>
      </c>
      <c r="E29" s="81">
        <v>120</v>
      </c>
      <c r="F29" s="81">
        <f>Labor!I16</f>
        <v>27.06025</v>
      </c>
      <c r="G29" s="80">
        <f>(F29*D29)+E29</f>
        <v>444.72300000000001</v>
      </c>
      <c r="I29" s="215"/>
      <c r="J29" s="216"/>
      <c r="K29" s="217"/>
      <c r="L29" s="218"/>
      <c r="M29" s="218"/>
      <c r="N29" s="78">
        <f>0.01*G29</f>
        <v>4.4472300000000002</v>
      </c>
      <c r="O29" s="80">
        <f>SUM(N29,M29,L29,K29,J29,G29)*C29</f>
        <v>1347.5106900000001</v>
      </c>
    </row>
    <row r="30" spans="1:15" x14ac:dyDescent="0.25">
      <c r="A30" s="117" t="s">
        <v>451</v>
      </c>
      <c r="B30" s="202">
        <v>1</v>
      </c>
      <c r="C30" s="202"/>
      <c r="D30" s="202">
        <v>8</v>
      </c>
      <c r="E30" s="215"/>
      <c r="F30" s="215"/>
      <c r="G30" s="208"/>
      <c r="I30" s="118">
        <v>5</v>
      </c>
      <c r="J30" s="80">
        <f>I30*$K$4*(D30)</f>
        <v>89.600000000000009</v>
      </c>
      <c r="K30" s="79">
        <v>550</v>
      </c>
      <c r="L30" s="78"/>
      <c r="M30" s="78"/>
      <c r="N30" s="83"/>
      <c r="O30" s="80">
        <f>SUM(N30,M30,L30,K30,J30,G30)*B30</f>
        <v>639.6</v>
      </c>
    </row>
    <row r="31" spans="1:15" x14ac:dyDescent="0.25">
      <c r="A31" s="117" t="s">
        <v>450</v>
      </c>
      <c r="B31" s="202">
        <v>2</v>
      </c>
      <c r="C31" s="202"/>
      <c r="D31" s="202">
        <v>8</v>
      </c>
      <c r="E31" s="215"/>
      <c r="F31" s="215"/>
      <c r="G31" s="208"/>
      <c r="I31" s="118">
        <v>5</v>
      </c>
      <c r="J31" s="80">
        <f>I31*$K$4*(D31)</f>
        <v>89.600000000000009</v>
      </c>
      <c r="K31" s="79">
        <v>550</v>
      </c>
      <c r="L31" s="78"/>
      <c r="M31" s="78"/>
      <c r="N31" s="83"/>
      <c r="O31" s="80">
        <f>SUM(N31,M31,L31,K31,J31,G31)*B31</f>
        <v>1279.2</v>
      </c>
    </row>
    <row r="32" spans="1:15" x14ac:dyDescent="0.25">
      <c r="A32" s="201" t="s">
        <v>566</v>
      </c>
      <c r="B32" s="202">
        <v>2</v>
      </c>
      <c r="C32" s="202"/>
      <c r="D32" s="202">
        <v>8</v>
      </c>
      <c r="E32" s="215"/>
      <c r="F32" s="215"/>
      <c r="G32" s="208"/>
      <c r="I32" s="118">
        <v>5</v>
      </c>
      <c r="J32" s="80">
        <f>I32*$K$4*(D32)</f>
        <v>89.600000000000009</v>
      </c>
      <c r="K32" s="79">
        <v>450</v>
      </c>
      <c r="L32" s="78"/>
      <c r="M32" s="78"/>
      <c r="N32" s="83"/>
      <c r="O32" s="80">
        <f>SUM(N32,M32,L32,K32,J32,G32)*B32</f>
        <v>1079.2</v>
      </c>
    </row>
    <row r="33" spans="1:15" ht="15.75" thickBot="1" x14ac:dyDescent="0.3">
      <c r="A33" s="116" t="s">
        <v>449</v>
      </c>
      <c r="B33" s="203">
        <v>1</v>
      </c>
      <c r="C33" s="203"/>
      <c r="D33" s="203">
        <v>8</v>
      </c>
      <c r="E33" s="219"/>
      <c r="F33" s="219"/>
      <c r="G33" s="211"/>
      <c r="H33" s="224"/>
      <c r="I33" s="247">
        <v>5</v>
      </c>
      <c r="J33" s="75">
        <f>I33*$K$4*(D33)</f>
        <v>89.600000000000009</v>
      </c>
      <c r="K33" s="74">
        <v>550</v>
      </c>
      <c r="L33" s="73"/>
      <c r="M33" s="73"/>
      <c r="N33" s="101"/>
      <c r="O33" s="75">
        <f>SUM(N33,M33,L33,K33,J33,G33)*B33</f>
        <v>639.6</v>
      </c>
    </row>
    <row r="34" spans="1:15" ht="16.5" thickTop="1" thickBot="1" x14ac:dyDescent="0.3">
      <c r="A34" s="115"/>
      <c r="B34" s="114"/>
      <c r="C34" s="114"/>
      <c r="D34" s="114"/>
      <c r="E34" s="70"/>
      <c r="F34" s="70"/>
      <c r="G34" s="70"/>
      <c r="H34" s="232"/>
      <c r="I34" s="70"/>
      <c r="J34" s="70"/>
      <c r="K34" s="70"/>
      <c r="L34" s="70"/>
      <c r="M34" s="70"/>
      <c r="N34" s="70"/>
      <c r="O34" s="113">
        <f>SUM(O25:O33)</f>
        <v>9332.9320700000007</v>
      </c>
    </row>
    <row r="35" spans="1:15" ht="15.75" thickTop="1" x14ac:dyDescent="0.25">
      <c r="A35" s="112" t="s">
        <v>428</v>
      </c>
      <c r="B35" s="94">
        <f>SUM(B8:B23)</f>
        <v>5</v>
      </c>
      <c r="C35" s="94">
        <f>SUM(C8:C33)</f>
        <v>15</v>
      </c>
      <c r="D35" s="94"/>
      <c r="E35" s="93"/>
      <c r="F35" s="93"/>
      <c r="G35" s="93"/>
      <c r="H35" s="231"/>
      <c r="I35" s="93"/>
      <c r="J35" s="93"/>
      <c r="K35" s="93"/>
      <c r="L35" s="93"/>
      <c r="M35" s="93"/>
      <c r="N35" s="93"/>
      <c r="O35" s="111">
        <f>SUM(O24,O34,O18,O13)</f>
        <v>16790.58912276</v>
      </c>
    </row>
    <row r="36" spans="1:15" ht="15.75" thickBot="1" x14ac:dyDescent="0.3">
      <c r="B36" s="110"/>
      <c r="C36" s="110"/>
      <c r="D36" s="110"/>
    </row>
    <row r="37" spans="1:15" ht="16.5" thickTop="1" thickBot="1" x14ac:dyDescent="0.3">
      <c r="A37" s="109" t="s">
        <v>448</v>
      </c>
      <c r="B37" s="108"/>
      <c r="C37" s="108"/>
      <c r="D37" s="108"/>
      <c r="E37" s="107"/>
      <c r="F37" s="107"/>
      <c r="G37" s="107"/>
      <c r="H37" s="233"/>
      <c r="I37" s="107"/>
      <c r="J37" s="107"/>
      <c r="K37" s="107"/>
      <c r="L37" s="107"/>
      <c r="M37" s="107"/>
      <c r="N37" s="107"/>
      <c r="O37" s="104"/>
    </row>
    <row r="38" spans="1:15" ht="15.75" thickTop="1" x14ac:dyDescent="0.25">
      <c r="A38" s="106"/>
      <c r="B38" s="105" t="s">
        <v>447</v>
      </c>
      <c r="C38" s="105" t="s">
        <v>446</v>
      </c>
      <c r="D38" s="105" t="s">
        <v>445</v>
      </c>
      <c r="E38" s="519" t="s">
        <v>444</v>
      </c>
      <c r="F38" s="519"/>
      <c r="G38" s="520"/>
      <c r="H38" s="228"/>
      <c r="I38" s="519" t="s">
        <v>443</v>
      </c>
      <c r="J38" s="520"/>
      <c r="K38" s="105" t="s">
        <v>442</v>
      </c>
      <c r="L38" s="105" t="s">
        <v>441</v>
      </c>
      <c r="M38" s="105" t="s">
        <v>440</v>
      </c>
      <c r="N38" s="105" t="s">
        <v>439</v>
      </c>
      <c r="O38" s="104" t="s">
        <v>428</v>
      </c>
    </row>
    <row r="39" spans="1:15" ht="15.75" thickBot="1" x14ac:dyDescent="0.3">
      <c r="A39" s="103"/>
      <c r="B39" s="101"/>
      <c r="C39" s="101"/>
      <c r="D39" s="101"/>
      <c r="E39" s="65" t="s">
        <v>438</v>
      </c>
      <c r="F39" s="65" t="s">
        <v>437</v>
      </c>
      <c r="G39" s="102"/>
      <c r="H39" s="224"/>
      <c r="I39" s="65" t="s">
        <v>436</v>
      </c>
      <c r="J39" s="102" t="s">
        <v>435</v>
      </c>
      <c r="K39" s="101"/>
      <c r="L39" s="101"/>
      <c r="M39" s="101"/>
      <c r="N39" s="101"/>
      <c r="O39" s="100"/>
    </row>
    <row r="40" spans="1:15" ht="15.75" thickTop="1" x14ac:dyDescent="0.25">
      <c r="A40" s="99" t="s">
        <v>434</v>
      </c>
      <c r="B40" s="89"/>
      <c r="C40" s="88"/>
      <c r="D40" s="98"/>
      <c r="E40" s="87"/>
      <c r="F40" s="87"/>
      <c r="G40" s="87"/>
      <c r="H40" s="236"/>
      <c r="I40" s="87"/>
      <c r="J40" s="87"/>
      <c r="K40" s="97"/>
      <c r="L40" s="97"/>
      <c r="M40" s="87"/>
      <c r="N40" s="97"/>
      <c r="O40" s="96"/>
    </row>
    <row r="41" spans="1:15" x14ac:dyDescent="0.25">
      <c r="A41" s="238" t="s">
        <v>558</v>
      </c>
      <c r="B41" s="202">
        <v>1</v>
      </c>
      <c r="C41" s="202"/>
      <c r="D41" s="202">
        <v>24</v>
      </c>
      <c r="E41" s="215"/>
      <c r="F41" s="215"/>
      <c r="G41" s="208"/>
      <c r="H41" s="234">
        <v>0.05</v>
      </c>
      <c r="I41" s="206">
        <f>((0.04807931/2)*650)*H41</f>
        <v>0.78128878750000008</v>
      </c>
      <c r="J41" s="80">
        <f>K$4*I41*D41*B41</f>
        <v>42.002085216000012</v>
      </c>
      <c r="K41" s="213">
        <v>600</v>
      </c>
      <c r="L41" s="214">
        <v>1000</v>
      </c>
      <c r="M41" s="214"/>
      <c r="N41" s="83"/>
      <c r="O41" s="72">
        <f>SUM(N41,M41,L41,K41,J41,G41)</f>
        <v>1642.0020852160001</v>
      </c>
    </row>
    <row r="42" spans="1:15" x14ac:dyDescent="0.25">
      <c r="A42" s="238" t="s">
        <v>462</v>
      </c>
      <c r="B42" s="202">
        <v>1</v>
      </c>
      <c r="C42" s="202"/>
      <c r="D42" s="202">
        <v>24</v>
      </c>
      <c r="E42" s="215"/>
      <c r="F42" s="215"/>
      <c r="G42" s="208"/>
      <c r="I42" s="118">
        <v>2</v>
      </c>
      <c r="J42" s="80">
        <f>K$4*I42*D42*B42</f>
        <v>107.52000000000001</v>
      </c>
      <c r="K42" s="213">
        <v>250</v>
      </c>
      <c r="L42" s="214"/>
      <c r="M42" s="214"/>
      <c r="N42" s="83"/>
      <c r="O42" s="72"/>
    </row>
    <row r="43" spans="1:15" x14ac:dyDescent="0.25">
      <c r="A43" s="82" t="s">
        <v>433</v>
      </c>
      <c r="B43" s="202"/>
      <c r="C43" s="202">
        <v>1</v>
      </c>
      <c r="D43" s="202">
        <v>12</v>
      </c>
      <c r="E43" s="200">
        <v>120</v>
      </c>
      <c r="F43" s="81">
        <f>Labor!I14</f>
        <v>32.472299999999997</v>
      </c>
      <c r="G43" s="80">
        <f>((F43*D43)+E43)*C43</f>
        <v>509.66759999999999</v>
      </c>
      <c r="I43" s="215"/>
      <c r="J43" s="216"/>
      <c r="K43" s="217"/>
      <c r="L43" s="218"/>
      <c r="M43" s="218"/>
      <c r="N43" s="78">
        <f>0.01*G43</f>
        <v>5.0966760000000004</v>
      </c>
      <c r="O43" s="72">
        <f>SUM(N43,M43,L43,K43,J43,G43)*C43</f>
        <v>514.764276</v>
      </c>
    </row>
    <row r="44" spans="1:15" x14ac:dyDescent="0.25">
      <c r="A44" s="82" t="s">
        <v>429</v>
      </c>
      <c r="B44" s="202"/>
      <c r="C44" s="202">
        <v>2</v>
      </c>
      <c r="D44" s="202">
        <v>12</v>
      </c>
      <c r="E44" s="200">
        <v>120</v>
      </c>
      <c r="F44" s="81">
        <f>Labor!I16</f>
        <v>27.06025</v>
      </c>
      <c r="G44" s="80">
        <f>((F44*D44)+E44)*C44</f>
        <v>889.44600000000003</v>
      </c>
      <c r="I44" s="215"/>
      <c r="J44" s="216"/>
      <c r="K44" s="217"/>
      <c r="L44" s="218"/>
      <c r="M44" s="218"/>
      <c r="N44" s="78">
        <f>0.01*G44</f>
        <v>8.8944600000000005</v>
      </c>
      <c r="O44" s="72">
        <f>SUM(N44,M44,L44,K44,J44,G44)*C44</f>
        <v>1796.68092</v>
      </c>
    </row>
    <row r="45" spans="1:15" ht="15.75" thickBot="1" x14ac:dyDescent="0.3">
      <c r="A45" s="77" t="s">
        <v>432</v>
      </c>
      <c r="B45" s="203"/>
      <c r="C45" s="203">
        <v>1</v>
      </c>
      <c r="D45" s="203">
        <v>12</v>
      </c>
      <c r="E45" s="204">
        <v>120</v>
      </c>
      <c r="F45" s="76">
        <f>Labor!I14</f>
        <v>32.472299999999997</v>
      </c>
      <c r="G45" s="75">
        <f>((F45*D45)+E45)*C45</f>
        <v>509.66759999999999</v>
      </c>
      <c r="H45" s="224"/>
      <c r="I45" s="219"/>
      <c r="J45" s="220"/>
      <c r="K45" s="221"/>
      <c r="L45" s="222"/>
      <c r="M45" s="222"/>
      <c r="N45" s="73">
        <f>0.01*G45</f>
        <v>5.0966760000000004</v>
      </c>
      <c r="O45" s="64">
        <f>SUM(N45,M45,L45,K45,J45,G45)*C45</f>
        <v>514.764276</v>
      </c>
    </row>
    <row r="46" spans="1:15" ht="15.75" thickTop="1" x14ac:dyDescent="0.25">
      <c r="A46" s="95"/>
      <c r="B46" s="94"/>
      <c r="C46" s="94"/>
      <c r="D46" s="94"/>
      <c r="E46" s="93"/>
      <c r="F46" s="93"/>
      <c r="G46" s="92"/>
      <c r="H46" s="231"/>
      <c r="I46" s="92"/>
      <c r="J46" s="92"/>
      <c r="K46" s="92"/>
      <c r="L46" s="92"/>
      <c r="M46" s="92"/>
      <c r="N46" s="92"/>
      <c r="O46" s="91">
        <f>SUM(O41:O45)</f>
        <v>4468.2115572160001</v>
      </c>
    </row>
    <row r="47" spans="1:15" x14ac:dyDescent="0.25">
      <c r="A47" s="90" t="s">
        <v>431</v>
      </c>
      <c r="B47" s="89"/>
      <c r="C47" s="88"/>
      <c r="D47" s="88"/>
      <c r="E47" s="86"/>
      <c r="F47" s="87"/>
      <c r="G47" s="87"/>
      <c r="H47" s="237"/>
      <c r="I47" s="87"/>
      <c r="J47" s="87"/>
      <c r="K47" s="86"/>
      <c r="L47" s="86"/>
      <c r="M47" s="86"/>
      <c r="N47" s="86"/>
      <c r="O47" s="85"/>
    </row>
    <row r="48" spans="1:15" x14ac:dyDescent="0.25">
      <c r="A48" s="238" t="s">
        <v>559</v>
      </c>
      <c r="B48" s="202">
        <v>2</v>
      </c>
      <c r="C48" s="202"/>
      <c r="D48" s="202">
        <v>24</v>
      </c>
      <c r="E48" s="118"/>
      <c r="G48" s="84"/>
      <c r="H48" s="239">
        <v>0.75</v>
      </c>
      <c r="I48" s="206">
        <f>((0.04807931/2)*300)*H48</f>
        <v>5.4089223749999995</v>
      </c>
      <c r="J48" s="80">
        <f>K$4*I48*D48*B48</f>
        <v>581.56733376</v>
      </c>
      <c r="K48" s="213">
        <v>1000</v>
      </c>
      <c r="L48" s="214">
        <v>500</v>
      </c>
      <c r="M48" s="214"/>
      <c r="N48" s="83"/>
      <c r="O48" s="72">
        <f>SUM(N48,M48,L48,K48,J48,G48)</f>
        <v>2081.5673337600001</v>
      </c>
    </row>
    <row r="49" spans="1:15" x14ac:dyDescent="0.25">
      <c r="A49" s="82" t="s">
        <v>430</v>
      </c>
      <c r="B49" s="202"/>
      <c r="C49" s="202">
        <v>2</v>
      </c>
      <c r="D49" s="202">
        <v>24</v>
      </c>
      <c r="E49" s="200">
        <v>120</v>
      </c>
      <c r="F49" s="81">
        <f>Labor!I15</f>
        <v>30.848684999999996</v>
      </c>
      <c r="G49" s="80">
        <f>((F49*D49)+E49)*C49</f>
        <v>1720.7368799999999</v>
      </c>
      <c r="I49" s="215"/>
      <c r="J49" s="216"/>
      <c r="K49" s="217"/>
      <c r="L49" s="218"/>
      <c r="M49" s="218"/>
      <c r="N49" s="78">
        <f>0.01*G49</f>
        <v>17.207368800000001</v>
      </c>
      <c r="O49" s="72">
        <f>SUM(N49,M49,L49,K49,J49,G49)*C49</f>
        <v>3475.8884975999999</v>
      </c>
    </row>
    <row r="50" spans="1:15" ht="15.75" thickBot="1" x14ac:dyDescent="0.3">
      <c r="A50" s="77" t="s">
        <v>429</v>
      </c>
      <c r="B50" s="203"/>
      <c r="C50" s="203">
        <v>2</v>
      </c>
      <c r="D50" s="203">
        <v>24</v>
      </c>
      <c r="E50" s="204">
        <v>120</v>
      </c>
      <c r="F50" s="76">
        <f>Labor!I16</f>
        <v>27.06025</v>
      </c>
      <c r="G50" s="80">
        <f>((F50*D50)+E50)*C50</f>
        <v>1538.8920000000001</v>
      </c>
      <c r="H50" s="224"/>
      <c r="I50" s="219"/>
      <c r="J50" s="220"/>
      <c r="K50" s="221"/>
      <c r="L50" s="222"/>
      <c r="M50" s="222"/>
      <c r="N50" s="73">
        <f>0.01*G50</f>
        <v>15.388920000000001</v>
      </c>
      <c r="O50" s="72">
        <f>SUM(N50,M50,L50,K50,J50,G50)*C50</f>
        <v>3108.5618400000003</v>
      </c>
    </row>
    <row r="51" spans="1:15" ht="16.5" thickTop="1" thickBot="1" x14ac:dyDescent="0.3">
      <c r="A51" s="71"/>
      <c r="B51" s="70"/>
      <c r="C51" s="70"/>
      <c r="D51" s="70"/>
      <c r="E51" s="70"/>
      <c r="F51" s="70"/>
      <c r="G51" s="69"/>
      <c r="H51" s="232"/>
      <c r="I51" s="69"/>
      <c r="J51" s="69"/>
      <c r="K51" s="69"/>
      <c r="L51" s="69"/>
      <c r="M51" s="69"/>
      <c r="N51" s="69"/>
      <c r="O51" s="68">
        <f>SUM(O48:O50)</f>
        <v>8666.0176713600013</v>
      </c>
    </row>
    <row r="52" spans="1:15" ht="16.5" thickTop="1" thickBot="1" x14ac:dyDescent="0.3">
      <c r="A52" s="67" t="s">
        <v>428</v>
      </c>
      <c r="B52" s="66"/>
      <c r="C52" s="66"/>
      <c r="D52" s="66"/>
      <c r="E52" s="65"/>
      <c r="F52" s="65"/>
      <c r="G52" s="65"/>
      <c r="H52" s="224"/>
      <c r="I52" s="65"/>
      <c r="J52" s="65"/>
      <c r="K52" s="65"/>
      <c r="L52" s="65"/>
      <c r="M52" s="65"/>
      <c r="N52" s="65"/>
      <c r="O52" s="64">
        <f>SUM(O51,O46)</f>
        <v>13134.229228576001</v>
      </c>
    </row>
    <row r="53" spans="1:15" ht="15.75" thickTop="1" x14ac:dyDescent="0.25">
      <c r="O53" s="63">
        <f>O52</f>
        <v>13134.229228576001</v>
      </c>
    </row>
  </sheetData>
  <mergeCells count="4">
    <mergeCell ref="E5:G5"/>
    <mergeCell ref="I5:J5"/>
    <mergeCell ref="E38:G38"/>
    <mergeCell ref="I38:J38"/>
  </mergeCells>
  <pageMargins left="0.7" right="0.7" top="0.75" bottom="0.75" header="0.3" footer="0.3"/>
  <pageSetup paperSize="119" scale="9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267D-C21A-4CEB-BD7A-2C0B53144D69}">
  <sheetPr>
    <tabColor theme="7"/>
    <pageSetUpPr fitToPage="1"/>
  </sheetPr>
  <dimension ref="A3:E47"/>
  <sheetViews>
    <sheetView topLeftCell="A13" zoomScale="85" zoomScaleNormal="85" workbookViewId="0">
      <selection activeCell="C20" sqref="C20"/>
    </sheetView>
  </sheetViews>
  <sheetFormatPr defaultColWidth="10.7109375" defaultRowHeight="15" x14ac:dyDescent="0.25"/>
  <cols>
    <col min="1" max="1" width="38.5703125" style="62" bestFit="1" customWidth="1"/>
    <col min="2" max="2" width="43.28515625" style="190" bestFit="1" customWidth="1"/>
    <col min="3" max="3" width="10" style="190" customWidth="1"/>
    <col min="4" max="4" width="10.85546875" style="190" bestFit="1" customWidth="1"/>
    <col min="5" max="5" width="20" style="190" customWidth="1"/>
    <col min="6" max="16384" width="10.7109375" style="62"/>
  </cols>
  <sheetData>
    <row r="3" spans="1:5" ht="15.75" thickBot="1" x14ac:dyDescent="0.3">
      <c r="A3" s="139" t="s">
        <v>544</v>
      </c>
      <c r="B3" s="373"/>
      <c r="C3" s="373"/>
      <c r="D3" s="373"/>
      <c r="E3" s="373"/>
    </row>
    <row r="4" spans="1:5" ht="15.75" thickTop="1" x14ac:dyDescent="0.25">
      <c r="A4" s="367" t="s">
        <v>473</v>
      </c>
      <c r="B4" s="394" t="str">
        <f>'DR-Hyd'!$B$2</f>
        <v>Town of Longboat Key</v>
      </c>
      <c r="C4" s="374"/>
      <c r="D4" s="374"/>
      <c r="E4" s="295"/>
    </row>
    <row r="5" spans="1:5" ht="15.75" thickBot="1" x14ac:dyDescent="0.3">
      <c r="A5" s="133" t="s">
        <v>471</v>
      </c>
      <c r="B5" s="395" t="str">
        <f>'DR-Hyd'!$B$3</f>
        <v>Longboat Key Canal Design Permitting &amp; Construction</v>
      </c>
      <c r="C5" s="132"/>
      <c r="D5" s="132"/>
      <c r="E5" s="378"/>
    </row>
    <row r="6" spans="1:5" ht="15.75" thickTop="1" x14ac:dyDescent="0.25">
      <c r="C6" s="110" t="s">
        <v>468</v>
      </c>
    </row>
    <row r="7" spans="1:5" x14ac:dyDescent="0.25">
      <c r="A7" s="361" t="s">
        <v>567</v>
      </c>
      <c r="C7" s="110"/>
    </row>
    <row r="8" spans="1:5" x14ac:dyDescent="0.25">
      <c r="A8" s="62" t="s">
        <v>543</v>
      </c>
      <c r="C8" s="240">
        <v>2</v>
      </c>
      <c r="E8" s="379">
        <f>C8*('DR-Hyd'!$O$13+'DR-Hyd'!$O$18)</f>
        <v>11545.52509352</v>
      </c>
    </row>
    <row r="9" spans="1:5" x14ac:dyDescent="0.25">
      <c r="A9" s="62" t="s">
        <v>542</v>
      </c>
      <c r="C9" s="240">
        <v>5</v>
      </c>
      <c r="E9" s="379">
        <f>C9*('DR-Hyd'!$O$13+'DR-Hyd'!$O$18)</f>
        <v>28863.812733800001</v>
      </c>
    </row>
    <row r="10" spans="1:5" x14ac:dyDescent="0.25">
      <c r="A10" s="93" t="s">
        <v>541</v>
      </c>
      <c r="B10" s="195"/>
      <c r="C10" s="241">
        <v>3</v>
      </c>
      <c r="D10" s="195"/>
      <c r="E10" s="380">
        <f>C10*('DR-Hyd'!$O$13+'DR-Hyd'!$O$18)</f>
        <v>17318.287640279999</v>
      </c>
    </row>
    <row r="11" spans="1:5" x14ac:dyDescent="0.25">
      <c r="A11" s="62" t="s">
        <v>428</v>
      </c>
      <c r="C11" s="110"/>
      <c r="E11" s="379">
        <f>SUM(E8:E10)</f>
        <v>57727.625467599995</v>
      </c>
    </row>
    <row r="12" spans="1:5" x14ac:dyDescent="0.25">
      <c r="C12" s="110"/>
    </row>
    <row r="13" spans="1:5" x14ac:dyDescent="0.25">
      <c r="A13" s="361" t="s">
        <v>540</v>
      </c>
      <c r="C13" s="110"/>
    </row>
    <row r="14" spans="1:5" x14ac:dyDescent="0.25">
      <c r="A14" s="62" t="s">
        <v>539</v>
      </c>
      <c r="C14" s="240">
        <v>3</v>
      </c>
      <c r="E14" s="379">
        <f>C14*('DR-Hyd'!$O$13+'DR-Hyd'!$O$18)</f>
        <v>17318.287640279999</v>
      </c>
    </row>
    <row r="15" spans="1:5" x14ac:dyDescent="0.25">
      <c r="A15" s="62" t="s">
        <v>538</v>
      </c>
      <c r="C15" s="240">
        <v>5</v>
      </c>
      <c r="E15" s="379">
        <f>C15*('DR-Hyd'!$O$13+'DR-Hyd'!$O$18)</f>
        <v>28863.812733800001</v>
      </c>
    </row>
    <row r="16" spans="1:5" x14ac:dyDescent="0.25">
      <c r="A16" s="93" t="s">
        <v>537</v>
      </c>
      <c r="B16" s="195"/>
      <c r="C16" s="241">
        <v>5</v>
      </c>
      <c r="D16" s="195"/>
      <c r="E16" s="380">
        <f>C16*('DR-Hyd'!$O$13+'DR-Hyd'!$O$18+'DR-Hyd'!$O$24)</f>
        <v>37288.285263799997</v>
      </c>
    </row>
    <row r="17" spans="1:5" x14ac:dyDescent="0.25">
      <c r="A17" s="62" t="s">
        <v>428</v>
      </c>
      <c r="C17" s="110"/>
      <c r="E17" s="379">
        <f>SUM(E14:E16)</f>
        <v>83470.385637879997</v>
      </c>
    </row>
    <row r="18" spans="1:5" x14ac:dyDescent="0.25">
      <c r="C18" s="110"/>
    </row>
    <row r="19" spans="1:5" x14ac:dyDescent="0.25">
      <c r="A19" s="361" t="s">
        <v>562</v>
      </c>
      <c r="C19" s="240">
        <v>12</v>
      </c>
      <c r="E19" s="379">
        <f>C19*'DR-Hyd'!O34</f>
        <v>111995.18484</v>
      </c>
    </row>
    <row r="20" spans="1:5" x14ac:dyDescent="0.25">
      <c r="A20" s="361"/>
      <c r="C20" s="110"/>
      <c r="E20" s="379"/>
    </row>
    <row r="21" spans="1:5" x14ac:dyDescent="0.25">
      <c r="B21" s="190" t="s">
        <v>531</v>
      </c>
      <c r="C21" s="110" t="s">
        <v>509</v>
      </c>
      <c r="D21" s="190" t="s">
        <v>530</v>
      </c>
    </row>
    <row r="22" spans="1:5" x14ac:dyDescent="0.25">
      <c r="A22" s="361" t="s">
        <v>440</v>
      </c>
      <c r="C22" s="110"/>
    </row>
    <row r="23" spans="1:5" x14ac:dyDescent="0.25">
      <c r="A23" s="93" t="s">
        <v>536</v>
      </c>
      <c r="B23" s="94"/>
      <c r="C23" s="241">
        <v>1</v>
      </c>
      <c r="D23" s="382">
        <v>20000</v>
      </c>
      <c r="E23" s="380">
        <f>D23*C23</f>
        <v>20000</v>
      </c>
    </row>
    <row r="24" spans="1:5" x14ac:dyDescent="0.25">
      <c r="A24" s="62" t="s">
        <v>428</v>
      </c>
      <c r="B24" s="110"/>
      <c r="C24" s="110" t="s">
        <v>535</v>
      </c>
      <c r="E24" s="379">
        <f>SUM(E23:E23)</f>
        <v>20000</v>
      </c>
    </row>
    <row r="25" spans="1:5" x14ac:dyDescent="0.25">
      <c r="B25" s="110"/>
      <c r="C25" s="110"/>
    </row>
    <row r="26" spans="1:5" x14ac:dyDescent="0.25">
      <c r="B26" s="190" t="s">
        <v>531</v>
      </c>
      <c r="C26" s="110" t="s">
        <v>509</v>
      </c>
      <c r="D26" s="190" t="s">
        <v>530</v>
      </c>
    </row>
    <row r="27" spans="1:5" x14ac:dyDescent="0.25">
      <c r="A27" s="361" t="s">
        <v>439</v>
      </c>
      <c r="B27" s="110"/>
      <c r="C27" s="110"/>
    </row>
    <row r="28" spans="1:5" x14ac:dyDescent="0.25">
      <c r="A28" s="62" t="s">
        <v>534</v>
      </c>
      <c r="B28" s="240">
        <v>1</v>
      </c>
      <c r="C28" s="110"/>
      <c r="D28" s="379">
        <f>'DR-Hyd'!O34</f>
        <v>9332.9320700000007</v>
      </c>
      <c r="E28" s="379">
        <f>D28*B28</f>
        <v>9332.9320700000007</v>
      </c>
    </row>
    <row r="29" spans="1:5" x14ac:dyDescent="0.25">
      <c r="A29" s="62" t="s">
        <v>533</v>
      </c>
      <c r="B29" s="240">
        <v>1</v>
      </c>
      <c r="C29" s="110"/>
      <c r="D29" s="381">
        <v>1000</v>
      </c>
      <c r="E29" s="379">
        <f>D29*B29</f>
        <v>1000</v>
      </c>
    </row>
    <row r="30" spans="1:5" x14ac:dyDescent="0.25">
      <c r="A30" s="93" t="s">
        <v>532</v>
      </c>
      <c r="B30" s="241">
        <v>1</v>
      </c>
      <c r="C30" s="94"/>
      <c r="D30" s="382">
        <v>5000</v>
      </c>
      <c r="E30" s="380">
        <f>D30*B30</f>
        <v>5000</v>
      </c>
    </row>
    <row r="31" spans="1:5" x14ac:dyDescent="0.25">
      <c r="A31" s="62" t="s">
        <v>428</v>
      </c>
      <c r="B31" s="110"/>
      <c r="C31" s="110"/>
      <c r="E31" s="379">
        <f>SUM(E28:E30)</f>
        <v>15332.932070000001</v>
      </c>
    </row>
    <row r="32" spans="1:5" x14ac:dyDescent="0.25">
      <c r="B32" s="110"/>
      <c r="C32" s="110"/>
      <c r="E32" s="379"/>
    </row>
    <row r="33" spans="1:5" x14ac:dyDescent="0.25">
      <c r="B33" s="375"/>
      <c r="C33" s="375" t="s">
        <v>468</v>
      </c>
      <c r="D33" s="375" t="s">
        <v>530</v>
      </c>
    </row>
    <row r="34" spans="1:5" x14ac:dyDescent="0.25">
      <c r="A34" s="361" t="s">
        <v>642</v>
      </c>
      <c r="B34" s="110"/>
      <c r="C34" s="110"/>
      <c r="E34" s="379"/>
    </row>
    <row r="35" spans="1:5" x14ac:dyDescent="0.25">
      <c r="A35" s="284" t="s">
        <v>643</v>
      </c>
      <c r="B35" s="110"/>
      <c r="C35" s="110">
        <f>E46</f>
        <v>35</v>
      </c>
      <c r="D35" s="379">
        <f>Overhead!F39</f>
        <v>1705.6666666666667</v>
      </c>
      <c r="E35" s="379">
        <f>D35*C35</f>
        <v>59698.333333333336</v>
      </c>
    </row>
    <row r="36" spans="1:5" x14ac:dyDescent="0.25">
      <c r="A36" s="284" t="s">
        <v>644</v>
      </c>
      <c r="B36" s="110"/>
      <c r="C36" s="110">
        <f>Overhead!B9</f>
        <v>5</v>
      </c>
      <c r="D36" s="379">
        <f>Overhead!F39</f>
        <v>1705.6666666666667</v>
      </c>
      <c r="E36" s="379">
        <f>D36*C36</f>
        <v>8528.3333333333339</v>
      </c>
    </row>
    <row r="37" spans="1:5" x14ac:dyDescent="0.25">
      <c r="A37" s="393"/>
      <c r="B37" s="89"/>
      <c r="C37" s="89"/>
      <c r="D37" s="392"/>
      <c r="E37" s="392">
        <f>SUM(E35:E36)</f>
        <v>68226.666666666672</v>
      </c>
    </row>
    <row r="38" spans="1:5" x14ac:dyDescent="0.25">
      <c r="A38" s="284"/>
      <c r="B38" s="110"/>
      <c r="C38" s="110"/>
    </row>
    <row r="39" spans="1:5" x14ac:dyDescent="0.25">
      <c r="B39" s="190" t="s">
        <v>531</v>
      </c>
      <c r="C39" s="110" t="s">
        <v>509</v>
      </c>
      <c r="D39" s="190" t="s">
        <v>530</v>
      </c>
    </row>
    <row r="40" spans="1:5" x14ac:dyDescent="0.25">
      <c r="A40" s="361" t="s">
        <v>529</v>
      </c>
      <c r="B40" s="110"/>
      <c r="C40" s="110"/>
    </row>
    <row r="41" spans="1:5" x14ac:dyDescent="0.25">
      <c r="A41" s="62" t="s">
        <v>528</v>
      </c>
      <c r="B41" s="240">
        <v>1</v>
      </c>
      <c r="C41" s="240"/>
      <c r="D41" s="383">
        <v>25000</v>
      </c>
      <c r="E41" s="379">
        <f>D41*B41</f>
        <v>25000</v>
      </c>
    </row>
    <row r="42" spans="1:5" x14ac:dyDescent="0.25">
      <c r="A42" s="62" t="s">
        <v>527</v>
      </c>
      <c r="B42" s="240"/>
      <c r="C42" s="240">
        <v>10</v>
      </c>
      <c r="D42" s="381">
        <v>2500</v>
      </c>
      <c r="E42" s="379">
        <f>D42*C42</f>
        <v>25000</v>
      </c>
    </row>
    <row r="43" spans="1:5" x14ac:dyDescent="0.25">
      <c r="A43" s="93" t="s">
        <v>526</v>
      </c>
      <c r="B43" s="241">
        <v>1</v>
      </c>
      <c r="C43" s="241"/>
      <c r="D43" s="382">
        <v>35000</v>
      </c>
      <c r="E43" s="380">
        <f>D43*B43</f>
        <v>35000</v>
      </c>
    </row>
    <row r="44" spans="1:5" x14ac:dyDescent="0.25">
      <c r="A44" s="62" t="s">
        <v>428</v>
      </c>
      <c r="E44" s="379">
        <f>SUM(E41:E43)</f>
        <v>85000</v>
      </c>
    </row>
    <row r="45" spans="1:5" ht="15.75" thickBot="1" x14ac:dyDescent="0.3"/>
    <row r="46" spans="1:5" x14ac:dyDescent="0.25">
      <c r="A46" s="368" t="s">
        <v>525</v>
      </c>
      <c r="B46" s="376"/>
      <c r="C46" s="376"/>
      <c r="D46" s="376"/>
      <c r="E46" s="384">
        <f>SUM(C8:C10,C14:C16,C19)</f>
        <v>35</v>
      </c>
    </row>
    <row r="47" spans="1:5" ht="15.75" thickBot="1" x14ac:dyDescent="0.3">
      <c r="A47" s="369" t="s">
        <v>524</v>
      </c>
      <c r="B47" s="377"/>
      <c r="C47" s="377"/>
      <c r="D47" s="377"/>
      <c r="E47" s="385">
        <f>SUM(E44,E31,E24,E19,E17,E11,E37)</f>
        <v>441752.79468214669</v>
      </c>
    </row>
  </sheetData>
  <pageMargins left="0.7" right="0.7" top="0.75" bottom="0.75" header="0.3" footer="0.3"/>
  <pageSetup paperSize="1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6BB6-CFCF-4821-9B4A-619FEC1C19CD}">
  <sheetPr>
    <tabColor theme="7"/>
    <pageSetUpPr fitToPage="1"/>
  </sheetPr>
  <dimension ref="A3:E42"/>
  <sheetViews>
    <sheetView topLeftCell="A14" zoomScale="85" zoomScaleNormal="85" workbookViewId="0">
      <selection activeCell="I16" sqref="I16"/>
    </sheetView>
  </sheetViews>
  <sheetFormatPr defaultColWidth="10.7109375" defaultRowHeight="15" outlineLevelRow="1" x14ac:dyDescent="0.25"/>
  <cols>
    <col min="1" max="1" width="45.140625" style="62" bestFit="1" customWidth="1"/>
    <col min="2" max="2" width="43.28515625" style="190" bestFit="1" customWidth="1"/>
    <col min="3" max="3" width="12.28515625" style="190" customWidth="1"/>
    <col min="4" max="4" width="16.42578125" style="190" customWidth="1"/>
    <col min="5" max="5" width="15.28515625" style="190" customWidth="1"/>
    <col min="6" max="16384" width="10.7109375" style="62"/>
  </cols>
  <sheetData>
    <row r="3" spans="1:5" ht="15.75" thickBot="1" x14ac:dyDescent="0.3">
      <c r="A3" s="139" t="s">
        <v>550</v>
      </c>
      <c r="B3" s="373"/>
      <c r="C3" s="373"/>
      <c r="D3" s="373"/>
      <c r="E3" s="373"/>
    </row>
    <row r="4" spans="1:5" ht="15.75" thickTop="1" x14ac:dyDescent="0.25">
      <c r="A4" s="170" t="s">
        <v>473</v>
      </c>
      <c r="B4" s="390" t="str">
        <f>'DR-Hyd'!$B$2</f>
        <v>Town of Longboat Key</v>
      </c>
      <c r="C4" s="137"/>
      <c r="D4" s="137"/>
      <c r="E4" s="295"/>
    </row>
    <row r="5" spans="1:5" ht="15.75" thickBot="1" x14ac:dyDescent="0.3">
      <c r="A5" s="133" t="s">
        <v>471</v>
      </c>
      <c r="B5" s="387" t="str">
        <f>'DR-Hyd'!$B$3</f>
        <v>Longboat Key Canal Design Permitting &amp; Construction</v>
      </c>
      <c r="C5" s="132"/>
      <c r="D5" s="132"/>
      <c r="E5" s="378"/>
    </row>
    <row r="6" spans="1:5" ht="15.75" thickTop="1" x14ac:dyDescent="0.25">
      <c r="A6" s="388"/>
      <c r="B6" s="137"/>
      <c r="C6" s="137" t="s">
        <v>468</v>
      </c>
      <c r="D6" s="137"/>
      <c r="E6" s="389"/>
    </row>
    <row r="7" spans="1:5" x14ac:dyDescent="0.25">
      <c r="A7" s="361" t="s">
        <v>567</v>
      </c>
    </row>
    <row r="8" spans="1:5" x14ac:dyDescent="0.25">
      <c r="A8" s="62" t="s">
        <v>543</v>
      </c>
      <c r="B8" s="110"/>
      <c r="C8" s="240">
        <v>2</v>
      </c>
      <c r="E8" s="379">
        <f>C8*('DR-Hyd'!$O$13+'DR-Hyd'!$O$18)</f>
        <v>11545.52509352</v>
      </c>
    </row>
    <row r="9" spans="1:5" x14ac:dyDescent="0.25">
      <c r="A9" s="93" t="s">
        <v>549</v>
      </c>
      <c r="B9" s="94"/>
      <c r="C9" s="241">
        <v>5</v>
      </c>
      <c r="D9" s="195"/>
      <c r="E9" s="380">
        <f>C9*('DR-Hyd'!$O$13+'DR-Hyd'!$O$18)</f>
        <v>28863.812733800001</v>
      </c>
    </row>
    <row r="10" spans="1:5" x14ac:dyDescent="0.25">
      <c r="A10" s="62" t="s">
        <v>428</v>
      </c>
      <c r="B10" s="110"/>
      <c r="C10" s="110"/>
      <c r="E10" s="379">
        <f>SUM(E8:E9)</f>
        <v>40409.33782732</v>
      </c>
    </row>
    <row r="11" spans="1:5" x14ac:dyDescent="0.25">
      <c r="B11" s="110"/>
      <c r="C11" s="110"/>
    </row>
    <row r="12" spans="1:5" x14ac:dyDescent="0.25">
      <c r="A12" s="361" t="s">
        <v>540</v>
      </c>
      <c r="B12" s="110"/>
      <c r="C12" s="110"/>
    </row>
    <row r="13" spans="1:5" x14ac:dyDescent="0.25">
      <c r="A13" s="62" t="s">
        <v>539</v>
      </c>
      <c r="B13" s="110"/>
      <c r="C13" s="240">
        <v>3</v>
      </c>
      <c r="E13" s="379">
        <f>C13*('DR-Hyd'!$O$13+'DR-Hyd'!$O$18)</f>
        <v>17318.287640279999</v>
      </c>
    </row>
    <row r="14" spans="1:5" x14ac:dyDescent="0.25">
      <c r="A14" s="93" t="s">
        <v>538</v>
      </c>
      <c r="B14" s="94"/>
      <c r="C14" s="241">
        <v>5</v>
      </c>
      <c r="D14" s="195"/>
      <c r="E14" s="380">
        <f>C14*('DR-Hyd'!$O$13+'DR-Hyd'!$O$18)</f>
        <v>28863.812733800001</v>
      </c>
    </row>
    <row r="15" spans="1:5" x14ac:dyDescent="0.25">
      <c r="A15" s="62" t="s">
        <v>428</v>
      </c>
      <c r="B15" s="110"/>
      <c r="C15" s="110"/>
      <c r="E15" s="379">
        <f>SUM(E13:E14)</f>
        <v>46182.100374080001</v>
      </c>
    </row>
    <row r="16" spans="1:5" x14ac:dyDescent="0.25">
      <c r="B16" s="110"/>
      <c r="C16" s="110"/>
      <c r="E16" s="379"/>
    </row>
    <row r="17" spans="1:5" x14ac:dyDescent="0.25">
      <c r="A17" s="361" t="s">
        <v>616</v>
      </c>
      <c r="C17" s="240">
        <v>12</v>
      </c>
      <c r="E17" s="379">
        <f>C17*'DR-Hyd'!O34</f>
        <v>111995.18484</v>
      </c>
    </row>
    <row r="18" spans="1:5" x14ac:dyDescent="0.25">
      <c r="B18" s="110"/>
      <c r="C18" s="110"/>
    </row>
    <row r="19" spans="1:5" x14ac:dyDescent="0.25">
      <c r="B19" s="110" t="s">
        <v>531</v>
      </c>
      <c r="C19" s="110" t="s">
        <v>509</v>
      </c>
      <c r="D19" s="190" t="s">
        <v>530</v>
      </c>
    </row>
    <row r="20" spans="1:5" x14ac:dyDescent="0.25">
      <c r="A20" s="361" t="s">
        <v>440</v>
      </c>
      <c r="B20" s="110"/>
      <c r="C20" s="110"/>
    </row>
    <row r="21" spans="1:5" outlineLevel="1" x14ac:dyDescent="0.25">
      <c r="B21" s="110"/>
      <c r="C21" s="110"/>
      <c r="D21" s="379"/>
      <c r="E21" s="379"/>
    </row>
    <row r="22" spans="1:5" outlineLevel="1" x14ac:dyDescent="0.25">
      <c r="A22" s="93"/>
      <c r="B22" s="94"/>
      <c r="C22" s="94"/>
      <c r="D22" s="380"/>
      <c r="E22" s="380"/>
    </row>
    <row r="23" spans="1:5" x14ac:dyDescent="0.25">
      <c r="A23" s="62" t="s">
        <v>428</v>
      </c>
      <c r="B23" s="110"/>
      <c r="C23" s="110"/>
      <c r="E23" s="379">
        <f>SUM(E21:E22)</f>
        <v>0</v>
      </c>
    </row>
    <row r="24" spans="1:5" x14ac:dyDescent="0.25">
      <c r="B24" s="110"/>
      <c r="C24" s="110"/>
    </row>
    <row r="25" spans="1:5" x14ac:dyDescent="0.25">
      <c r="A25" s="361" t="s">
        <v>439</v>
      </c>
      <c r="B25" s="110"/>
      <c r="C25" s="110"/>
    </row>
    <row r="26" spans="1:5" x14ac:dyDescent="0.25">
      <c r="A26" s="62" t="s">
        <v>548</v>
      </c>
      <c r="B26" s="240">
        <v>3</v>
      </c>
      <c r="C26" s="110"/>
      <c r="D26" s="379">
        <f>'DR-Hyd'!O34</f>
        <v>9332.9320700000007</v>
      </c>
      <c r="E26" s="379">
        <f>D26*B26</f>
        <v>27998.79621</v>
      </c>
    </row>
    <row r="27" spans="1:5" x14ac:dyDescent="0.25">
      <c r="A27" s="93" t="s">
        <v>547</v>
      </c>
      <c r="B27" s="241">
        <v>1</v>
      </c>
      <c r="C27" s="94"/>
      <c r="D27" s="382">
        <v>5000</v>
      </c>
      <c r="E27" s="380">
        <f>D27*B27</f>
        <v>5000</v>
      </c>
    </row>
    <row r="28" spans="1:5" x14ac:dyDescent="0.25">
      <c r="A28" s="62" t="s">
        <v>428</v>
      </c>
      <c r="B28" s="110"/>
      <c r="C28" s="110"/>
      <c r="E28" s="379">
        <f>SUM(E26:E27)</f>
        <v>32998.79621</v>
      </c>
    </row>
    <row r="29" spans="1:5" x14ac:dyDescent="0.25">
      <c r="B29" s="110"/>
      <c r="C29" s="110"/>
      <c r="E29" s="379"/>
    </row>
    <row r="30" spans="1:5" x14ac:dyDescent="0.25">
      <c r="B30" s="375"/>
      <c r="C30" s="375" t="s">
        <v>468</v>
      </c>
      <c r="D30" s="375" t="s">
        <v>530</v>
      </c>
    </row>
    <row r="31" spans="1:5" x14ac:dyDescent="0.25">
      <c r="A31" s="361" t="s">
        <v>642</v>
      </c>
      <c r="B31" s="110"/>
      <c r="C31" s="110"/>
      <c r="E31" s="379"/>
    </row>
    <row r="32" spans="1:5" x14ac:dyDescent="0.25">
      <c r="A32" s="284" t="s">
        <v>643</v>
      </c>
      <c r="B32" s="110"/>
      <c r="C32" s="110">
        <f>E41</f>
        <v>27</v>
      </c>
      <c r="D32" s="379">
        <f>Overhead!F39</f>
        <v>1705.6666666666667</v>
      </c>
      <c r="E32" s="379">
        <f>D32*C32</f>
        <v>46053</v>
      </c>
    </row>
    <row r="33" spans="1:5" x14ac:dyDescent="0.25">
      <c r="A33" s="284" t="s">
        <v>644</v>
      </c>
      <c r="B33" s="110"/>
      <c r="C33" s="110">
        <f>Overhead!B11</f>
        <v>5</v>
      </c>
      <c r="D33" s="379">
        <f>Overhead!F39</f>
        <v>1705.6666666666667</v>
      </c>
      <c r="E33" s="379">
        <f>D33*C33</f>
        <v>8528.3333333333339</v>
      </c>
    </row>
    <row r="34" spans="1:5" x14ac:dyDescent="0.25">
      <c r="A34" s="393"/>
      <c r="B34" s="89"/>
      <c r="C34" s="89"/>
      <c r="D34" s="392"/>
      <c r="E34" s="392">
        <f>SUM(E32:E33)</f>
        <v>54581.333333333336</v>
      </c>
    </row>
    <row r="35" spans="1:5" x14ac:dyDescent="0.25">
      <c r="B35" s="110"/>
      <c r="C35" s="110"/>
    </row>
    <row r="36" spans="1:5" x14ac:dyDescent="0.25">
      <c r="A36" s="361" t="s">
        <v>529</v>
      </c>
      <c r="B36" s="110"/>
      <c r="C36" s="110"/>
    </row>
    <row r="37" spans="1:5" x14ac:dyDescent="0.25">
      <c r="A37" s="62" t="s">
        <v>527</v>
      </c>
      <c r="B37" s="110"/>
      <c r="C37" s="396">
        <v>10</v>
      </c>
      <c r="D37" s="381">
        <v>2500</v>
      </c>
      <c r="E37" s="379">
        <f>D37*C37</f>
        <v>25000</v>
      </c>
    </row>
    <row r="38" spans="1:5" x14ac:dyDescent="0.25">
      <c r="A38" s="93" t="s">
        <v>546</v>
      </c>
      <c r="B38" s="241">
        <v>1</v>
      </c>
      <c r="C38" s="94"/>
      <c r="D38" s="382">
        <v>35000</v>
      </c>
      <c r="E38" s="380">
        <f>D38*B38</f>
        <v>35000</v>
      </c>
    </row>
    <row r="39" spans="1:5" x14ac:dyDescent="0.25">
      <c r="A39" s="62" t="s">
        <v>428</v>
      </c>
      <c r="E39" s="379">
        <f>SUM(E37:E38)</f>
        <v>60000</v>
      </c>
    </row>
    <row r="40" spans="1:5" ht="15.75" thickBot="1" x14ac:dyDescent="0.3"/>
    <row r="41" spans="1:5" x14ac:dyDescent="0.25">
      <c r="A41" s="368" t="s">
        <v>525</v>
      </c>
      <c r="B41" s="376"/>
      <c r="C41" s="376"/>
      <c r="D41" s="376"/>
      <c r="E41" s="384">
        <f>SUM(C13:C14,C17,C8:C9)</f>
        <v>27</v>
      </c>
    </row>
    <row r="42" spans="1:5" ht="15.75" thickBot="1" x14ac:dyDescent="0.3">
      <c r="A42" s="369" t="s">
        <v>545</v>
      </c>
      <c r="B42" s="377"/>
      <c r="C42" s="377"/>
      <c r="D42" s="377"/>
      <c r="E42" s="385">
        <f>SUM(E39,E28,E23,E15,E10,E17,E34)</f>
        <v>346166.75258473336</v>
      </c>
    </row>
  </sheetData>
  <pageMargins left="0.7" right="0.7" top="0.75" bottom="0.75" header="0.3" footer="0.3"/>
  <pageSetup paperSize="119"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E229-435E-449F-8662-3A34A65C6578}">
  <sheetPr>
    <tabColor rgb="FF92D050"/>
    <pageSetUpPr fitToPage="1"/>
  </sheetPr>
  <dimension ref="A1:W53"/>
  <sheetViews>
    <sheetView topLeftCell="A20" zoomScaleNormal="100" workbookViewId="0">
      <selection activeCell="F10" sqref="F10"/>
    </sheetView>
  </sheetViews>
  <sheetFormatPr defaultColWidth="10.7109375" defaultRowHeight="15" x14ac:dyDescent="0.25"/>
  <cols>
    <col min="1" max="1" width="34.140625" style="62" bestFit="1" customWidth="1"/>
    <col min="2" max="2" width="7.5703125" style="62" customWidth="1"/>
    <col min="3" max="3" width="6.28515625" style="62" bestFit="1" customWidth="1"/>
    <col min="4" max="4" width="7.5703125" style="62" bestFit="1" customWidth="1"/>
    <col min="5" max="5" width="13.28515625" style="62" bestFit="1" customWidth="1"/>
    <col min="6" max="6" width="12.28515625" style="62" bestFit="1" customWidth="1"/>
    <col min="7" max="7" width="11" style="62" bestFit="1" customWidth="1"/>
    <col min="8" max="8" width="11" style="227" customWidth="1"/>
    <col min="9" max="9" width="23" style="62" customWidth="1"/>
    <col min="10" max="10" width="13" style="62" bestFit="1" customWidth="1"/>
    <col min="11" max="11" width="12" style="62" bestFit="1" customWidth="1"/>
    <col min="12" max="12" width="11.7109375" style="62" bestFit="1" customWidth="1"/>
    <col min="13" max="13" width="9.85546875" style="62" customWidth="1"/>
    <col min="14" max="14" width="10.7109375" style="62"/>
    <col min="15" max="15" width="12.42578125" style="62" bestFit="1" customWidth="1"/>
    <col min="16" max="16384" width="10.7109375" style="62"/>
  </cols>
  <sheetData>
    <row r="1" spans="1:23" ht="15.75" thickBot="1" x14ac:dyDescent="0.3">
      <c r="A1" s="139" t="s">
        <v>474</v>
      </c>
      <c r="B1" s="65"/>
      <c r="C1" s="65"/>
      <c r="D1" s="65"/>
      <c r="E1" s="65"/>
      <c r="F1" s="65"/>
      <c r="G1" s="65"/>
      <c r="H1" s="224"/>
      <c r="I1" s="65"/>
      <c r="J1" s="65"/>
      <c r="K1" s="65"/>
      <c r="L1" s="65"/>
      <c r="M1" s="65"/>
      <c r="N1" s="65"/>
      <c r="O1" s="65"/>
    </row>
    <row r="2" spans="1:23" ht="15.75" thickTop="1" x14ac:dyDescent="0.25">
      <c r="A2" s="138" t="s">
        <v>473</v>
      </c>
      <c r="B2" s="243" t="s">
        <v>472</v>
      </c>
      <c r="C2" s="243"/>
      <c r="D2" s="243"/>
      <c r="E2" s="243"/>
      <c r="F2" s="243"/>
      <c r="G2" s="244"/>
      <c r="H2" s="225"/>
      <c r="I2" s="136"/>
      <c r="J2" s="135"/>
      <c r="K2" s="135"/>
      <c r="L2" s="135"/>
      <c r="M2" s="135"/>
      <c r="N2" s="135"/>
      <c r="O2" s="134"/>
    </row>
    <row r="3" spans="1:23" ht="15.75" thickBot="1" x14ac:dyDescent="0.3">
      <c r="A3" s="133" t="s">
        <v>471</v>
      </c>
      <c r="B3" s="245" t="s">
        <v>470</v>
      </c>
      <c r="C3" s="245"/>
      <c r="D3" s="245"/>
      <c r="E3" s="245"/>
      <c r="F3" s="245"/>
      <c r="G3" s="246"/>
      <c r="H3" s="226"/>
      <c r="I3" s="131"/>
      <c r="J3" s="130"/>
      <c r="K3" s="130"/>
      <c r="L3" s="130"/>
      <c r="M3" s="130"/>
      <c r="N3" s="130"/>
      <c r="O3" s="129"/>
    </row>
    <row r="4" spans="1:23" ht="16.5" thickTop="1" thickBot="1" x14ac:dyDescent="0.3">
      <c r="J4" s="62" t="s">
        <v>469</v>
      </c>
      <c r="K4" s="200">
        <v>2.2400000000000002</v>
      </c>
      <c r="N4" s="62" t="s">
        <v>468</v>
      </c>
      <c r="O4" s="62">
        <v>1</v>
      </c>
    </row>
    <row r="5" spans="1:23" ht="15.75" thickTop="1" x14ac:dyDescent="0.25">
      <c r="A5" s="106"/>
      <c r="B5" s="105" t="s">
        <v>447</v>
      </c>
      <c r="C5" s="105" t="s">
        <v>446</v>
      </c>
      <c r="D5" s="105" t="s">
        <v>445</v>
      </c>
      <c r="E5" s="519" t="s">
        <v>444</v>
      </c>
      <c r="F5" s="519"/>
      <c r="G5" s="520"/>
      <c r="H5" s="228"/>
      <c r="I5" s="519" t="s">
        <v>443</v>
      </c>
      <c r="J5" s="520"/>
      <c r="K5" s="105" t="s">
        <v>442</v>
      </c>
      <c r="L5" s="105" t="s">
        <v>441</v>
      </c>
      <c r="M5" s="105" t="s">
        <v>440</v>
      </c>
      <c r="N5" s="105" t="s">
        <v>439</v>
      </c>
      <c r="O5" s="104" t="s">
        <v>428</v>
      </c>
    </row>
    <row r="6" spans="1:23" ht="15.75" thickBot="1" x14ac:dyDescent="0.3">
      <c r="A6" s="103"/>
      <c r="B6" s="101"/>
      <c r="C6" s="101"/>
      <c r="D6" s="101"/>
      <c r="E6" s="65" t="s">
        <v>438</v>
      </c>
      <c r="F6" s="65" t="s">
        <v>437</v>
      </c>
      <c r="G6" s="102"/>
      <c r="H6" s="229" t="s">
        <v>561</v>
      </c>
      <c r="I6" s="223" t="s">
        <v>560</v>
      </c>
      <c r="J6" s="102" t="s">
        <v>435</v>
      </c>
      <c r="K6" s="101"/>
      <c r="L6" s="101"/>
      <c r="M6" s="101"/>
      <c r="N6" s="101"/>
      <c r="O6" s="100"/>
      <c r="Q6" s="126"/>
      <c r="R6" s="126"/>
      <c r="S6" s="126"/>
      <c r="T6" s="126"/>
      <c r="U6" s="126"/>
      <c r="V6" s="128" t="s">
        <v>467</v>
      </c>
      <c r="W6" s="126"/>
    </row>
    <row r="7" spans="1:23" ht="15.75" thickTop="1" x14ac:dyDescent="0.25">
      <c r="A7" s="127" t="s">
        <v>466</v>
      </c>
      <c r="B7" s="83"/>
      <c r="C7" s="83"/>
      <c r="D7" s="83"/>
      <c r="G7" s="84"/>
      <c r="J7" s="84"/>
      <c r="K7" s="83"/>
      <c r="L7" s="83"/>
      <c r="M7" s="83"/>
      <c r="N7" s="83"/>
      <c r="O7" s="84"/>
      <c r="Q7" s="126" t="s">
        <v>465</v>
      </c>
      <c r="R7" s="126"/>
      <c r="S7" s="126"/>
      <c r="T7" s="126"/>
      <c r="U7" s="126"/>
      <c r="V7" s="126" t="s">
        <v>464</v>
      </c>
      <c r="W7" s="126"/>
    </row>
    <row r="8" spans="1:23" x14ac:dyDescent="0.25">
      <c r="A8" s="201" t="s">
        <v>575</v>
      </c>
      <c r="B8" s="235">
        <v>1</v>
      </c>
      <c r="C8" s="202"/>
      <c r="D8" s="202">
        <v>12</v>
      </c>
      <c r="E8" s="215"/>
      <c r="F8" s="215"/>
      <c r="G8" s="208"/>
      <c r="H8" s="234">
        <v>0.75</v>
      </c>
      <c r="I8" s="206">
        <f>((0.04807931/2)*650)*H8</f>
        <v>11.7193318125</v>
      </c>
      <c r="J8" s="80">
        <f>K$4*I8*D8*B8</f>
        <v>315.01563912000006</v>
      </c>
      <c r="K8" s="213">
        <v>600</v>
      </c>
      <c r="L8" s="214">
        <v>200</v>
      </c>
      <c r="M8" s="214">
        <v>100</v>
      </c>
      <c r="N8" s="83"/>
      <c r="O8" s="80">
        <f>SUM(N8,M8,L8,K8,J8,G8)</f>
        <v>1215.0156391200001</v>
      </c>
      <c r="Q8" s="126" t="s">
        <v>463</v>
      </c>
      <c r="R8" s="126"/>
      <c r="S8" s="126"/>
      <c r="T8" s="126"/>
      <c r="U8" s="126"/>
      <c r="V8" s="126">
        <f>62*12</f>
        <v>744</v>
      </c>
      <c r="W8" s="126"/>
    </row>
    <row r="9" spans="1:23" x14ac:dyDescent="0.25">
      <c r="A9" s="201" t="s">
        <v>576</v>
      </c>
      <c r="B9" s="202">
        <v>2</v>
      </c>
      <c r="C9" s="202"/>
      <c r="D9" s="202">
        <v>12</v>
      </c>
      <c r="E9" s="215"/>
      <c r="F9" s="215"/>
      <c r="G9" s="208"/>
      <c r="I9" s="118">
        <v>5</v>
      </c>
      <c r="J9" s="80">
        <f>K$4*I9*D9*B9</f>
        <v>268.8</v>
      </c>
      <c r="K9" s="213">
        <v>350</v>
      </c>
      <c r="L9" s="214">
        <v>200</v>
      </c>
      <c r="M9" s="214">
        <v>100</v>
      </c>
      <c r="N9" s="83"/>
      <c r="O9" s="80">
        <f>SUM(I9:M9)</f>
        <v>923.8</v>
      </c>
      <c r="Q9" s="126" t="s">
        <v>461</v>
      </c>
      <c r="R9" s="126"/>
      <c r="S9" s="126"/>
      <c r="T9" s="126"/>
      <c r="U9" s="126"/>
      <c r="V9" s="126">
        <f>37*12</f>
        <v>444</v>
      </c>
      <c r="W9" s="126"/>
    </row>
    <row r="10" spans="1:23" x14ac:dyDescent="0.25">
      <c r="A10" s="201" t="s">
        <v>577</v>
      </c>
      <c r="B10" s="202"/>
      <c r="C10" s="202">
        <v>1</v>
      </c>
      <c r="D10" s="202">
        <v>12</v>
      </c>
      <c r="E10" s="200">
        <v>120</v>
      </c>
      <c r="F10" s="81">
        <f>Labor!I14</f>
        <v>32.472299999999997</v>
      </c>
      <c r="G10" s="80">
        <f>((F10*D10)+E10)*C10</f>
        <v>509.66759999999999</v>
      </c>
      <c r="I10" s="207"/>
      <c r="J10" s="208"/>
      <c r="K10" s="209"/>
      <c r="L10" s="209"/>
      <c r="M10" s="209"/>
      <c r="N10" s="78">
        <f>0.01*G10</f>
        <v>5.0966760000000004</v>
      </c>
      <c r="O10" s="80">
        <f>SUM(N10,M10,L10,K10,J10,G10)*C10</f>
        <v>514.764276</v>
      </c>
      <c r="Q10" s="126"/>
      <c r="R10" s="126"/>
      <c r="S10" s="126"/>
      <c r="T10" s="126"/>
      <c r="U10" s="126"/>
      <c r="V10" s="126"/>
      <c r="W10" s="126"/>
    </row>
    <row r="11" spans="1:23" x14ac:dyDescent="0.25">
      <c r="A11" s="117" t="s">
        <v>429</v>
      </c>
      <c r="B11" s="202"/>
      <c r="C11" s="202">
        <v>2</v>
      </c>
      <c r="D11" s="202">
        <v>12</v>
      </c>
      <c r="E11" s="200">
        <v>120</v>
      </c>
      <c r="F11" s="81">
        <f>Labor!I16</f>
        <v>27.06025</v>
      </c>
      <c r="G11" s="80">
        <f>((F11*D11)+E11)*C11</f>
        <v>889.44600000000003</v>
      </c>
      <c r="I11" s="207"/>
      <c r="J11" s="208"/>
      <c r="K11" s="209"/>
      <c r="L11" s="209"/>
      <c r="M11" s="209"/>
      <c r="N11" s="78">
        <f>0.01*G11</f>
        <v>8.8944600000000005</v>
      </c>
      <c r="O11" s="80">
        <f>SUM(N11,M11,L11,K11,J11,G11)*C11</f>
        <v>1796.68092</v>
      </c>
      <c r="Q11" s="126" t="s">
        <v>460</v>
      </c>
      <c r="R11" s="126"/>
      <c r="S11" s="126"/>
      <c r="T11" s="126"/>
      <c r="U11" s="126"/>
      <c r="V11" s="126"/>
      <c r="W11" s="126"/>
    </row>
    <row r="12" spans="1:23" ht="15.75" thickBot="1" x14ac:dyDescent="0.3">
      <c r="A12" s="116" t="s">
        <v>432</v>
      </c>
      <c r="B12" s="203"/>
      <c r="C12" s="203">
        <v>1</v>
      </c>
      <c r="D12" s="203">
        <v>12</v>
      </c>
      <c r="E12" s="204">
        <v>120</v>
      </c>
      <c r="F12" s="76">
        <f>Labor!I14</f>
        <v>32.472299999999997</v>
      </c>
      <c r="G12" s="75">
        <f>((F12*D12)+E12)*C12</f>
        <v>509.66759999999999</v>
      </c>
      <c r="H12" s="224"/>
      <c r="I12" s="210"/>
      <c r="J12" s="211"/>
      <c r="K12" s="212"/>
      <c r="L12" s="212"/>
      <c r="M12" s="212"/>
      <c r="N12" s="73">
        <f>0.01*G12</f>
        <v>5.0966760000000004</v>
      </c>
      <c r="O12" s="75">
        <f>SUM(N12,M12,L12,K12,J12,G12)*C12</f>
        <v>514.764276</v>
      </c>
      <c r="Q12" s="126" t="s">
        <v>459</v>
      </c>
      <c r="R12" s="126"/>
      <c r="S12" s="126"/>
      <c r="T12" s="126"/>
      <c r="U12" s="126"/>
      <c r="V12" s="126"/>
      <c r="W12" s="126"/>
    </row>
    <row r="13" spans="1:23" ht="15.75" thickTop="1" x14ac:dyDescent="0.25">
      <c r="A13" s="125"/>
      <c r="B13" s="110"/>
      <c r="C13" s="110"/>
      <c r="D13" s="110"/>
      <c r="O13" s="80">
        <f>SUM(O8:O12)</f>
        <v>4965.0251111199996</v>
      </c>
    </row>
    <row r="14" spans="1:23" x14ac:dyDescent="0.25">
      <c r="A14" s="124" t="s">
        <v>431</v>
      </c>
      <c r="B14" s="98"/>
      <c r="C14" s="89"/>
      <c r="D14" s="98"/>
      <c r="E14" s="87"/>
      <c r="F14" s="87"/>
      <c r="G14" s="119"/>
      <c r="H14" s="230"/>
      <c r="I14" s="87"/>
      <c r="J14" s="87"/>
      <c r="K14" s="86"/>
      <c r="L14" s="86"/>
      <c r="M14" s="86"/>
      <c r="N14" s="86"/>
      <c r="O14" s="97"/>
    </row>
    <row r="15" spans="1:23" x14ac:dyDescent="0.25">
      <c r="A15" s="201" t="s">
        <v>559</v>
      </c>
      <c r="B15" s="202">
        <v>1</v>
      </c>
      <c r="C15" s="205"/>
      <c r="D15" s="202">
        <v>12</v>
      </c>
      <c r="E15" s="215"/>
      <c r="F15" s="215"/>
      <c r="G15" s="208"/>
      <c r="H15" s="234">
        <v>0.75</v>
      </c>
      <c r="I15" s="206">
        <f>((0.04807931/2)*300)*H15</f>
        <v>5.4089223749999995</v>
      </c>
      <c r="J15" s="80">
        <f>K$4*I15*D15*B15</f>
        <v>145.39183344</v>
      </c>
      <c r="K15" s="213">
        <v>1000</v>
      </c>
      <c r="L15" s="214">
        <v>200</v>
      </c>
      <c r="M15" s="214">
        <v>100</v>
      </c>
      <c r="N15" s="83"/>
      <c r="O15" s="80">
        <f>SUM(N15,M15,L15,K15,J15,G15)*B15</f>
        <v>1445.39183344</v>
      </c>
    </row>
    <row r="16" spans="1:23" x14ac:dyDescent="0.25">
      <c r="A16" s="117" t="s">
        <v>430</v>
      </c>
      <c r="B16" s="202"/>
      <c r="C16" s="202">
        <v>2</v>
      </c>
      <c r="D16" s="202">
        <v>12</v>
      </c>
      <c r="E16" s="200">
        <v>120</v>
      </c>
      <c r="F16" s="81">
        <f>Labor!I15</f>
        <v>30.848684999999996</v>
      </c>
      <c r="G16" s="80">
        <f>((F16*D16)+E16)*C16</f>
        <v>980.36843999999996</v>
      </c>
      <c r="I16" s="215"/>
      <c r="J16" s="216"/>
      <c r="K16" s="217"/>
      <c r="L16" s="218"/>
      <c r="M16" s="218"/>
      <c r="N16" s="78">
        <f>0.01*G16</f>
        <v>9.8036843999999999</v>
      </c>
      <c r="O16" s="80">
        <f>SUM(N16,M16,L16,K16,J16,G16)*C16</f>
        <v>1980.3442487999998</v>
      </c>
    </row>
    <row r="17" spans="1:15" ht="15.75" thickBot="1" x14ac:dyDescent="0.3">
      <c r="A17" s="116" t="s">
        <v>429</v>
      </c>
      <c r="B17" s="203"/>
      <c r="C17" s="203">
        <v>1</v>
      </c>
      <c r="D17" s="203">
        <v>12</v>
      </c>
      <c r="E17" s="204">
        <v>120</v>
      </c>
      <c r="F17" s="76">
        <f>Labor!I16</f>
        <v>27.06025</v>
      </c>
      <c r="G17" s="75">
        <f>((F17*D17)+E17)*C17</f>
        <v>444.72300000000001</v>
      </c>
      <c r="H17" s="224"/>
      <c r="I17" s="219"/>
      <c r="J17" s="220"/>
      <c r="K17" s="221"/>
      <c r="L17" s="222"/>
      <c r="M17" s="222"/>
      <c r="N17" s="73">
        <f>0.01*G17</f>
        <v>4.4472300000000002</v>
      </c>
      <c r="O17" s="75">
        <f>SUM(N17,M17,L17,K17,J17,G17)*C17</f>
        <v>449.17023</v>
      </c>
    </row>
    <row r="18" spans="1:15" ht="15.75" thickTop="1" x14ac:dyDescent="0.25">
      <c r="A18" s="123"/>
      <c r="B18" s="94"/>
      <c r="C18" s="94"/>
      <c r="D18" s="94"/>
      <c r="E18" s="93"/>
      <c r="F18" s="93"/>
      <c r="G18" s="92"/>
      <c r="H18" s="231"/>
      <c r="I18" s="92"/>
      <c r="J18" s="92"/>
      <c r="K18" s="92"/>
      <c r="L18" s="92"/>
      <c r="M18" s="92"/>
      <c r="N18" s="92"/>
      <c r="O18" s="111">
        <f>SUM(O15:O17)</f>
        <v>3874.9063122399998</v>
      </c>
    </row>
    <row r="19" spans="1:15" x14ac:dyDescent="0.25">
      <c r="A19" s="122" t="s">
        <v>458</v>
      </c>
      <c r="B19" s="89"/>
      <c r="C19" s="98"/>
      <c r="D19" s="89"/>
      <c r="E19" s="86"/>
      <c r="F19" s="87"/>
      <c r="G19" s="119"/>
      <c r="H19" s="230"/>
      <c r="I19" s="87"/>
      <c r="J19" s="119"/>
      <c r="K19" s="87"/>
      <c r="L19" s="97"/>
      <c r="M19" s="97"/>
      <c r="N19" s="97"/>
      <c r="O19" s="97"/>
    </row>
    <row r="20" spans="1:15" x14ac:dyDescent="0.25">
      <c r="A20" s="117" t="s">
        <v>457</v>
      </c>
      <c r="B20" s="202">
        <v>1</v>
      </c>
      <c r="C20" s="202"/>
      <c r="D20" s="202">
        <v>12</v>
      </c>
      <c r="E20" s="215"/>
      <c r="F20" s="215"/>
      <c r="G20" s="208"/>
      <c r="I20" s="118">
        <v>2</v>
      </c>
      <c r="J20" s="80">
        <f>K$4*I20*D20*B20</f>
        <v>53.760000000000005</v>
      </c>
      <c r="K20" s="213">
        <v>250</v>
      </c>
      <c r="L20" s="214">
        <v>200</v>
      </c>
      <c r="M20" s="214">
        <v>100</v>
      </c>
      <c r="N20" s="83"/>
      <c r="O20" s="80">
        <f>SUM(N20,M20,L20,K20,J20,G20)</f>
        <v>603.76</v>
      </c>
    </row>
    <row r="21" spans="1:15" x14ac:dyDescent="0.25">
      <c r="A21" s="117" t="s">
        <v>456</v>
      </c>
      <c r="B21" s="202">
        <v>1</v>
      </c>
      <c r="C21" s="202"/>
      <c r="D21" s="202">
        <v>6</v>
      </c>
      <c r="E21" s="215"/>
      <c r="F21" s="215"/>
      <c r="G21" s="208"/>
      <c r="I21" s="118">
        <v>5</v>
      </c>
      <c r="J21" s="80">
        <f>K$4*I21*D21*B21</f>
        <v>67.2</v>
      </c>
      <c r="K21" s="213">
        <v>50</v>
      </c>
      <c r="L21" s="214"/>
      <c r="M21" s="214"/>
      <c r="N21" s="83"/>
      <c r="O21" s="80">
        <f>SUM(N21,M21,L21,K21,J21)</f>
        <v>117.2</v>
      </c>
    </row>
    <row r="22" spans="1:15" x14ac:dyDescent="0.25">
      <c r="A22" s="117" t="s">
        <v>429</v>
      </c>
      <c r="B22" s="202"/>
      <c r="C22" s="202">
        <v>1</v>
      </c>
      <c r="D22" s="202">
        <v>12</v>
      </c>
      <c r="E22" s="200">
        <v>120</v>
      </c>
      <c r="F22" s="81">
        <f>Labor!I16</f>
        <v>27.06025</v>
      </c>
      <c r="G22" s="80">
        <f>((F22*D22)+E22)*C22</f>
        <v>444.72300000000001</v>
      </c>
      <c r="I22" s="215"/>
      <c r="J22" s="216"/>
      <c r="K22" s="217"/>
      <c r="L22" s="218"/>
      <c r="M22" s="218"/>
      <c r="N22" s="78">
        <f>0.01*G22</f>
        <v>4.4472300000000002</v>
      </c>
      <c r="O22" s="80">
        <f>SUM(N22,M22,L22,K22,J22,G22)*C22</f>
        <v>449.17023</v>
      </c>
    </row>
    <row r="23" spans="1:15" ht="15.75" thickBot="1" x14ac:dyDescent="0.3">
      <c r="A23" s="116" t="s">
        <v>455</v>
      </c>
      <c r="B23" s="203"/>
      <c r="C23" s="203">
        <v>0</v>
      </c>
      <c r="D23" s="203">
        <v>12</v>
      </c>
      <c r="E23" s="204">
        <v>120</v>
      </c>
      <c r="F23" s="76">
        <f>Labor!I14</f>
        <v>32.472299999999997</v>
      </c>
      <c r="G23" s="75">
        <f>((F23*D23)+E23)*C23</f>
        <v>0</v>
      </c>
      <c r="H23" s="224"/>
      <c r="I23" s="219"/>
      <c r="J23" s="220"/>
      <c r="K23" s="221"/>
      <c r="L23" s="222"/>
      <c r="M23" s="222"/>
      <c r="N23" s="73">
        <f>0.01*G23</f>
        <v>0</v>
      </c>
      <c r="O23" s="75">
        <f>SUM(N23,M23,L23,K23,J23,G23)*C23</f>
        <v>0</v>
      </c>
    </row>
    <row r="24" spans="1:15" ht="15.75" thickTop="1" x14ac:dyDescent="0.25">
      <c r="A24" s="112"/>
      <c r="B24" s="94"/>
      <c r="C24" s="94"/>
      <c r="D24" s="94"/>
      <c r="E24" s="93"/>
      <c r="F24" s="93"/>
      <c r="G24" s="92"/>
      <c r="H24" s="231"/>
      <c r="I24" s="121"/>
      <c r="J24" s="92"/>
      <c r="K24" s="92"/>
      <c r="L24" s="92"/>
      <c r="M24" s="92"/>
      <c r="N24" s="92"/>
      <c r="O24" s="111">
        <f>SUM(O20:O23)</f>
        <v>1170.13023</v>
      </c>
    </row>
    <row r="25" spans="1:15" x14ac:dyDescent="0.25">
      <c r="A25" s="120" t="s">
        <v>636</v>
      </c>
      <c r="B25" s="98"/>
      <c r="C25" s="110"/>
      <c r="D25" s="88"/>
      <c r="E25" s="86"/>
      <c r="G25" s="119"/>
      <c r="K25" s="97"/>
      <c r="M25" s="86"/>
      <c r="N25" s="86"/>
      <c r="O25" s="86"/>
    </row>
    <row r="26" spans="1:15" x14ac:dyDescent="0.25">
      <c r="A26" s="117" t="s">
        <v>454</v>
      </c>
      <c r="B26" s="202">
        <v>1</v>
      </c>
      <c r="C26" s="202"/>
      <c r="D26" s="202">
        <v>12</v>
      </c>
      <c r="E26" s="215"/>
      <c r="F26" s="215"/>
      <c r="G26" s="208"/>
      <c r="I26" s="118">
        <v>100</v>
      </c>
      <c r="J26" s="80">
        <f>I26*K4</f>
        <v>224.00000000000003</v>
      </c>
      <c r="K26" s="79">
        <v>800</v>
      </c>
      <c r="L26" s="78">
        <v>500</v>
      </c>
      <c r="M26" s="78">
        <v>250</v>
      </c>
      <c r="N26" s="83"/>
      <c r="O26" s="80">
        <f>SUM(N26,M26,L26,K26,J26,G26)*B26</f>
        <v>1774</v>
      </c>
    </row>
    <row r="27" spans="1:15" x14ac:dyDescent="0.25">
      <c r="A27" s="117" t="s">
        <v>453</v>
      </c>
      <c r="B27" s="202"/>
      <c r="C27" s="202">
        <v>1</v>
      </c>
      <c r="D27" s="202">
        <v>12</v>
      </c>
      <c r="E27" s="81">
        <v>120</v>
      </c>
      <c r="F27" s="81">
        <f>Labor!I14</f>
        <v>32.472299999999997</v>
      </c>
      <c r="G27" s="80">
        <f>(F27*D27)+E27</f>
        <v>509.66759999999999</v>
      </c>
      <c r="I27" s="215"/>
      <c r="J27" s="216"/>
      <c r="K27" s="217"/>
      <c r="L27" s="218"/>
      <c r="M27" s="218"/>
      <c r="N27" s="78">
        <f>0.01*G27</f>
        <v>5.0966760000000004</v>
      </c>
      <c r="O27" s="80">
        <f>SUM(N27,M27,L27,K27,J27,G27)*C27</f>
        <v>514.764276</v>
      </c>
    </row>
    <row r="28" spans="1:15" x14ac:dyDescent="0.25">
      <c r="A28" s="201" t="s">
        <v>563</v>
      </c>
      <c r="B28" s="202"/>
      <c r="C28" s="202">
        <v>4</v>
      </c>
      <c r="D28" s="202">
        <v>12</v>
      </c>
      <c r="E28" s="81">
        <v>120</v>
      </c>
      <c r="F28" s="81">
        <f>Labor!I14</f>
        <v>32.472299999999997</v>
      </c>
      <c r="G28" s="80">
        <f>(F28*D28)+E28</f>
        <v>509.66759999999999</v>
      </c>
      <c r="I28" s="215"/>
      <c r="J28" s="216"/>
      <c r="K28" s="217"/>
      <c r="L28" s="218"/>
      <c r="M28" s="218"/>
      <c r="N28" s="78">
        <f>0.01*G28</f>
        <v>5.0966760000000004</v>
      </c>
      <c r="O28" s="80">
        <f>SUM(N28,M28,L28,K28,J28,G28)*C28</f>
        <v>2059.057104</v>
      </c>
    </row>
    <row r="29" spans="1:15" x14ac:dyDescent="0.25">
      <c r="A29" s="117" t="s">
        <v>452</v>
      </c>
      <c r="B29" s="202"/>
      <c r="C29" s="202">
        <v>3</v>
      </c>
      <c r="D29" s="202">
        <v>12</v>
      </c>
      <c r="E29" s="81">
        <v>120</v>
      </c>
      <c r="F29" s="81">
        <f>Labor!I16</f>
        <v>27.06025</v>
      </c>
      <c r="G29" s="80">
        <f>(F29*D29)+E29</f>
        <v>444.72300000000001</v>
      </c>
      <c r="I29" s="215"/>
      <c r="J29" s="216"/>
      <c r="K29" s="217"/>
      <c r="L29" s="218"/>
      <c r="M29" s="218"/>
      <c r="N29" s="78">
        <f>0.01*G29</f>
        <v>4.4472300000000002</v>
      </c>
      <c r="O29" s="80">
        <f>SUM(N29,M29,L29,K29,J29,G29)*C29</f>
        <v>1347.5106900000001</v>
      </c>
    </row>
    <row r="30" spans="1:15" x14ac:dyDescent="0.25">
      <c r="A30" s="117" t="s">
        <v>451</v>
      </c>
      <c r="B30" s="202">
        <v>1</v>
      </c>
      <c r="C30" s="202"/>
      <c r="D30" s="202">
        <v>8</v>
      </c>
      <c r="E30" s="215"/>
      <c r="F30" s="215"/>
      <c r="G30" s="208"/>
      <c r="I30" s="118">
        <v>5</v>
      </c>
      <c r="J30" s="80">
        <f>I30*$K$4*(D30)</f>
        <v>89.600000000000009</v>
      </c>
      <c r="K30" s="79">
        <v>550</v>
      </c>
      <c r="L30" s="78"/>
      <c r="M30" s="78"/>
      <c r="N30" s="83"/>
      <c r="O30" s="80">
        <f>SUM(N30,M30,L30,K30,J30,G30)*B30</f>
        <v>639.6</v>
      </c>
    </row>
    <row r="31" spans="1:15" x14ac:dyDescent="0.25">
      <c r="A31" s="117" t="s">
        <v>450</v>
      </c>
      <c r="B31" s="202">
        <v>2</v>
      </c>
      <c r="C31" s="202"/>
      <c r="D31" s="202">
        <v>8</v>
      </c>
      <c r="E31" s="215"/>
      <c r="F31" s="215"/>
      <c r="G31" s="208"/>
      <c r="I31" s="118">
        <v>5</v>
      </c>
      <c r="J31" s="80">
        <f>I31*$K$4*(D31)</f>
        <v>89.600000000000009</v>
      </c>
      <c r="K31" s="79">
        <v>550</v>
      </c>
      <c r="L31" s="78"/>
      <c r="M31" s="78"/>
      <c r="N31" s="83"/>
      <c r="O31" s="80">
        <f>SUM(N31,M31,L31,K31,J31,G31)*B31</f>
        <v>1279.2</v>
      </c>
    </row>
    <row r="32" spans="1:15" x14ac:dyDescent="0.25">
      <c r="A32" s="201" t="s">
        <v>566</v>
      </c>
      <c r="B32" s="202">
        <v>2</v>
      </c>
      <c r="C32" s="202"/>
      <c r="D32" s="202">
        <v>8</v>
      </c>
      <c r="E32" s="215"/>
      <c r="F32" s="215"/>
      <c r="G32" s="208"/>
      <c r="I32" s="118">
        <v>5</v>
      </c>
      <c r="J32" s="80">
        <f>I32*$K$4*(D32)</f>
        <v>89.600000000000009</v>
      </c>
      <c r="K32" s="79">
        <v>450</v>
      </c>
      <c r="L32" s="78"/>
      <c r="M32" s="78"/>
      <c r="N32" s="83"/>
      <c r="O32" s="80">
        <f>SUM(N32,M32,L32,K32,J32,G32)*B32</f>
        <v>1079.2</v>
      </c>
    </row>
    <row r="33" spans="1:15" ht="15.75" thickBot="1" x14ac:dyDescent="0.3">
      <c r="A33" s="116" t="s">
        <v>449</v>
      </c>
      <c r="B33" s="203">
        <v>1</v>
      </c>
      <c r="C33" s="203"/>
      <c r="D33" s="203">
        <v>8</v>
      </c>
      <c r="E33" s="219"/>
      <c r="F33" s="219"/>
      <c r="G33" s="211"/>
      <c r="H33" s="224"/>
      <c r="I33" s="247">
        <v>5</v>
      </c>
      <c r="J33" s="75">
        <f>I33*$K$4*(D33)</f>
        <v>89.600000000000009</v>
      </c>
      <c r="K33" s="74">
        <v>550</v>
      </c>
      <c r="L33" s="73"/>
      <c r="M33" s="73"/>
      <c r="N33" s="101"/>
      <c r="O33" s="75">
        <f>SUM(N33,M33,L33,K33,J33,G33)*B33</f>
        <v>639.6</v>
      </c>
    </row>
    <row r="34" spans="1:15" ht="16.5" thickTop="1" thickBot="1" x14ac:dyDescent="0.3">
      <c r="A34" s="115"/>
      <c r="B34" s="114"/>
      <c r="C34" s="114"/>
      <c r="D34" s="114"/>
      <c r="E34" s="70"/>
      <c r="F34" s="70"/>
      <c r="G34" s="70"/>
      <c r="H34" s="232"/>
      <c r="I34" s="70"/>
      <c r="J34" s="70"/>
      <c r="K34" s="70"/>
      <c r="L34" s="70"/>
      <c r="M34" s="70"/>
      <c r="N34" s="70"/>
      <c r="O34" s="113">
        <f>SUM(O25:O33)</f>
        <v>9332.9320700000007</v>
      </c>
    </row>
    <row r="35" spans="1:15" ht="15.75" thickTop="1" x14ac:dyDescent="0.25">
      <c r="A35" s="112" t="s">
        <v>428</v>
      </c>
      <c r="B35" s="94">
        <f>SUM(B8:B23)</f>
        <v>6</v>
      </c>
      <c r="C35" s="94">
        <f>SUM(C8:C33)</f>
        <v>16</v>
      </c>
      <c r="D35" s="94"/>
      <c r="E35" s="93"/>
      <c r="F35" s="93"/>
      <c r="G35" s="93"/>
      <c r="H35" s="231"/>
      <c r="I35" s="93"/>
      <c r="J35" s="93"/>
      <c r="K35" s="93"/>
      <c r="L35" s="93"/>
      <c r="M35" s="93"/>
      <c r="N35" s="93"/>
      <c r="O35" s="111">
        <f>SUM(O24,O34,O18,O13)</f>
        <v>19342.993723359999</v>
      </c>
    </row>
    <row r="36" spans="1:15" ht="15.75" thickBot="1" x14ac:dyDescent="0.3">
      <c r="B36" s="110"/>
      <c r="C36" s="110"/>
      <c r="D36" s="110"/>
    </row>
    <row r="37" spans="1:15" ht="16.5" thickTop="1" thickBot="1" x14ac:dyDescent="0.3">
      <c r="A37" s="109" t="s">
        <v>448</v>
      </c>
      <c r="B37" s="108"/>
      <c r="C37" s="108"/>
      <c r="D37" s="108"/>
      <c r="E37" s="107"/>
      <c r="F37" s="107"/>
      <c r="G37" s="107"/>
      <c r="H37" s="233"/>
      <c r="I37" s="107"/>
      <c r="J37" s="107"/>
      <c r="K37" s="107"/>
      <c r="L37" s="107"/>
      <c r="M37" s="107"/>
      <c r="N37" s="107"/>
      <c r="O37" s="104"/>
    </row>
    <row r="38" spans="1:15" ht="15.75" thickTop="1" x14ac:dyDescent="0.25">
      <c r="A38" s="106"/>
      <c r="B38" s="105" t="s">
        <v>447</v>
      </c>
      <c r="C38" s="105" t="s">
        <v>446</v>
      </c>
      <c r="D38" s="105" t="s">
        <v>445</v>
      </c>
      <c r="E38" s="519" t="s">
        <v>444</v>
      </c>
      <c r="F38" s="519"/>
      <c r="G38" s="520"/>
      <c r="H38" s="228"/>
      <c r="I38" s="519" t="s">
        <v>443</v>
      </c>
      <c r="J38" s="520"/>
      <c r="K38" s="105" t="s">
        <v>442</v>
      </c>
      <c r="L38" s="105" t="s">
        <v>441</v>
      </c>
      <c r="M38" s="105" t="s">
        <v>440</v>
      </c>
      <c r="N38" s="105" t="s">
        <v>439</v>
      </c>
      <c r="O38" s="104" t="s">
        <v>428</v>
      </c>
    </row>
    <row r="39" spans="1:15" ht="15.75" thickBot="1" x14ac:dyDescent="0.3">
      <c r="A39" s="103"/>
      <c r="B39" s="101"/>
      <c r="C39" s="101"/>
      <c r="D39" s="101"/>
      <c r="E39" s="65" t="s">
        <v>438</v>
      </c>
      <c r="F39" s="65" t="s">
        <v>437</v>
      </c>
      <c r="G39" s="102"/>
      <c r="H39" s="224"/>
      <c r="I39" s="65" t="s">
        <v>436</v>
      </c>
      <c r="J39" s="102" t="s">
        <v>435</v>
      </c>
      <c r="K39" s="101"/>
      <c r="L39" s="101"/>
      <c r="M39" s="101"/>
      <c r="N39" s="101"/>
      <c r="O39" s="100"/>
    </row>
    <row r="40" spans="1:15" ht="15.75" thickTop="1" x14ac:dyDescent="0.25">
      <c r="A40" s="99" t="s">
        <v>434</v>
      </c>
      <c r="B40" s="89"/>
      <c r="C40" s="88"/>
      <c r="D40" s="98"/>
      <c r="E40" s="87"/>
      <c r="F40" s="87"/>
      <c r="G40" s="87"/>
      <c r="H40" s="236"/>
      <c r="I40" s="87"/>
      <c r="J40" s="87"/>
      <c r="K40" s="97"/>
      <c r="L40" s="97"/>
      <c r="M40" s="87"/>
      <c r="N40" s="97"/>
      <c r="O40" s="96"/>
    </row>
    <row r="41" spans="1:15" x14ac:dyDescent="0.25">
      <c r="A41" s="238" t="s">
        <v>575</v>
      </c>
      <c r="B41" s="202">
        <v>1</v>
      </c>
      <c r="C41" s="202"/>
      <c r="D41" s="202">
        <v>24</v>
      </c>
      <c r="E41" s="215"/>
      <c r="F41" s="215"/>
      <c r="G41" s="208"/>
      <c r="H41" s="234">
        <v>0.05</v>
      </c>
      <c r="I41" s="206">
        <f>((0.04807931/2)*650)*H41</f>
        <v>0.78128878750000008</v>
      </c>
      <c r="J41" s="80">
        <f>K$4*I41*D41*B41</f>
        <v>42.002085216000012</v>
      </c>
      <c r="K41" s="213">
        <v>600</v>
      </c>
      <c r="L41" s="214">
        <v>1000</v>
      </c>
      <c r="M41" s="214"/>
      <c r="N41" s="83"/>
      <c r="O41" s="72">
        <f>SUM(N41,M41,L41,K41,J41,G41)</f>
        <v>1642.0020852160001</v>
      </c>
    </row>
    <row r="42" spans="1:15" x14ac:dyDescent="0.25">
      <c r="A42" s="238" t="s">
        <v>576</v>
      </c>
      <c r="B42" s="202">
        <v>2</v>
      </c>
      <c r="C42" s="202"/>
      <c r="D42" s="202">
        <v>24</v>
      </c>
      <c r="E42" s="215"/>
      <c r="F42" s="215"/>
      <c r="G42" s="208"/>
      <c r="I42" s="118">
        <v>2</v>
      </c>
      <c r="J42" s="80">
        <f>K$4*I42*D42*B42</f>
        <v>215.04000000000002</v>
      </c>
      <c r="K42" s="213">
        <v>350</v>
      </c>
      <c r="L42" s="214"/>
      <c r="M42" s="214"/>
      <c r="N42" s="83"/>
      <c r="O42" s="72"/>
    </row>
    <row r="43" spans="1:15" x14ac:dyDescent="0.25">
      <c r="A43" s="82" t="s">
        <v>433</v>
      </c>
      <c r="B43" s="202"/>
      <c r="C43" s="202">
        <v>1</v>
      </c>
      <c r="D43" s="202">
        <v>12</v>
      </c>
      <c r="E43" s="200">
        <v>120</v>
      </c>
      <c r="F43" s="81">
        <f>Labor!I14</f>
        <v>32.472299999999997</v>
      </c>
      <c r="G43" s="80">
        <f>((F43*D43)+E43)*C43</f>
        <v>509.66759999999999</v>
      </c>
      <c r="I43" s="215"/>
      <c r="J43" s="216"/>
      <c r="K43" s="217"/>
      <c r="L43" s="218"/>
      <c r="M43" s="218"/>
      <c r="N43" s="78">
        <f>0.01*G43</f>
        <v>5.0966760000000004</v>
      </c>
      <c r="O43" s="72">
        <f>SUM(N43,M43,L43,K43,J43,G43)*C43</f>
        <v>514.764276</v>
      </c>
    </row>
    <row r="44" spans="1:15" x14ac:dyDescent="0.25">
      <c r="A44" s="82" t="s">
        <v>429</v>
      </c>
      <c r="B44" s="202"/>
      <c r="C44" s="202">
        <v>2</v>
      </c>
      <c r="D44" s="202">
        <v>12</v>
      </c>
      <c r="E44" s="200">
        <v>120</v>
      </c>
      <c r="F44" s="81">
        <f>Labor!I16</f>
        <v>27.06025</v>
      </c>
      <c r="G44" s="80">
        <f>((F44*D44)+E44)*C44</f>
        <v>889.44600000000003</v>
      </c>
      <c r="I44" s="215"/>
      <c r="J44" s="216"/>
      <c r="K44" s="217"/>
      <c r="L44" s="218"/>
      <c r="M44" s="218"/>
      <c r="N44" s="78">
        <f>0.01*G44</f>
        <v>8.8944600000000005</v>
      </c>
      <c r="O44" s="72">
        <f>SUM(N44,M44,L44,K44,J44,G44)*C44</f>
        <v>1796.68092</v>
      </c>
    </row>
    <row r="45" spans="1:15" ht="15.75" thickBot="1" x14ac:dyDescent="0.3">
      <c r="A45" s="77" t="s">
        <v>432</v>
      </c>
      <c r="B45" s="203"/>
      <c r="C45" s="203">
        <v>1</v>
      </c>
      <c r="D45" s="203">
        <v>12</v>
      </c>
      <c r="E45" s="204">
        <v>120</v>
      </c>
      <c r="F45" s="76">
        <f>Labor!I14</f>
        <v>32.472299999999997</v>
      </c>
      <c r="G45" s="75">
        <f>((F45*D45)+E45)*C45</f>
        <v>509.66759999999999</v>
      </c>
      <c r="H45" s="224"/>
      <c r="I45" s="219"/>
      <c r="J45" s="220"/>
      <c r="K45" s="221"/>
      <c r="L45" s="222"/>
      <c r="M45" s="222"/>
      <c r="N45" s="73">
        <f>0.01*G45</f>
        <v>5.0966760000000004</v>
      </c>
      <c r="O45" s="64">
        <f>SUM(N45,M45,L45,K45,J45,G45)*C45</f>
        <v>514.764276</v>
      </c>
    </row>
    <row r="46" spans="1:15" ht="15.75" thickTop="1" x14ac:dyDescent="0.25">
      <c r="A46" s="95"/>
      <c r="B46" s="94"/>
      <c r="C46" s="94"/>
      <c r="D46" s="94"/>
      <c r="E46" s="93"/>
      <c r="F46" s="93"/>
      <c r="G46" s="92"/>
      <c r="H46" s="231"/>
      <c r="I46" s="92"/>
      <c r="J46" s="92"/>
      <c r="K46" s="92"/>
      <c r="L46" s="92"/>
      <c r="M46" s="92"/>
      <c r="N46" s="92"/>
      <c r="O46" s="91">
        <f>SUM(O41:O45)</f>
        <v>4468.2115572160001</v>
      </c>
    </row>
    <row r="47" spans="1:15" x14ac:dyDescent="0.25">
      <c r="A47" s="90" t="s">
        <v>431</v>
      </c>
      <c r="B47" s="89"/>
      <c r="C47" s="88"/>
      <c r="D47" s="88"/>
      <c r="E47" s="86"/>
      <c r="F47" s="87"/>
      <c r="G47" s="87"/>
      <c r="H47" s="237"/>
      <c r="I47" s="87"/>
      <c r="J47" s="87"/>
      <c r="K47" s="86"/>
      <c r="L47" s="86"/>
      <c r="M47" s="86"/>
      <c r="N47" s="86"/>
      <c r="O47" s="85"/>
    </row>
    <row r="48" spans="1:15" x14ac:dyDescent="0.25">
      <c r="A48" s="238" t="s">
        <v>559</v>
      </c>
      <c r="B48" s="202">
        <v>2</v>
      </c>
      <c r="C48" s="202"/>
      <c r="D48" s="202">
        <v>24</v>
      </c>
      <c r="E48" s="118"/>
      <c r="G48" s="84"/>
      <c r="H48" s="239">
        <v>0.75</v>
      </c>
      <c r="I48" s="206">
        <f>((0.04807931/2)*300)*H48</f>
        <v>5.4089223749999995</v>
      </c>
      <c r="J48" s="80">
        <f>K$4*I48*D48*B48</f>
        <v>581.56733376</v>
      </c>
      <c r="K48" s="213">
        <v>1000</v>
      </c>
      <c r="L48" s="214">
        <v>500</v>
      </c>
      <c r="M48" s="214"/>
      <c r="N48" s="83"/>
      <c r="O48" s="72">
        <f>SUM(N48,M48,L48,K48,J48,G48)</f>
        <v>2081.5673337600001</v>
      </c>
    </row>
    <row r="49" spans="1:15" x14ac:dyDescent="0.25">
      <c r="A49" s="82" t="s">
        <v>430</v>
      </c>
      <c r="B49" s="202"/>
      <c r="C49" s="202">
        <v>2</v>
      </c>
      <c r="D49" s="202">
        <v>24</v>
      </c>
      <c r="E49" s="200">
        <v>120</v>
      </c>
      <c r="F49" s="81">
        <f>Labor!I15</f>
        <v>30.848684999999996</v>
      </c>
      <c r="G49" s="80">
        <f>((F49*D49)+E49)*C49</f>
        <v>1720.7368799999999</v>
      </c>
      <c r="I49" s="215"/>
      <c r="J49" s="216"/>
      <c r="K49" s="217"/>
      <c r="L49" s="218"/>
      <c r="M49" s="218"/>
      <c r="N49" s="78">
        <f>0.01*G49</f>
        <v>17.207368800000001</v>
      </c>
      <c r="O49" s="72">
        <f>SUM(N49,M49,L49,K49,J49,G49)*C49</f>
        <v>3475.8884975999999</v>
      </c>
    </row>
    <row r="50" spans="1:15" ht="15.75" thickBot="1" x14ac:dyDescent="0.3">
      <c r="A50" s="77" t="s">
        <v>429</v>
      </c>
      <c r="B50" s="203"/>
      <c r="C50" s="203">
        <v>2</v>
      </c>
      <c r="D50" s="203">
        <v>24</v>
      </c>
      <c r="E50" s="204">
        <v>120</v>
      </c>
      <c r="F50" s="76">
        <f>Labor!I16</f>
        <v>27.06025</v>
      </c>
      <c r="G50" s="80">
        <f>((F50*D50)+E50)*C50</f>
        <v>1538.8920000000001</v>
      </c>
      <c r="H50" s="224"/>
      <c r="I50" s="219"/>
      <c r="J50" s="220"/>
      <c r="K50" s="221"/>
      <c r="L50" s="222"/>
      <c r="M50" s="222"/>
      <c r="N50" s="73">
        <f>0.01*G50</f>
        <v>15.388920000000001</v>
      </c>
      <c r="O50" s="72">
        <f>SUM(N50,M50,L50,K50,J50,G50)*C50</f>
        <v>3108.5618400000003</v>
      </c>
    </row>
    <row r="51" spans="1:15" ht="16.5" thickTop="1" thickBot="1" x14ac:dyDescent="0.3">
      <c r="A51" s="71"/>
      <c r="B51" s="70"/>
      <c r="C51" s="70"/>
      <c r="D51" s="70"/>
      <c r="E51" s="70"/>
      <c r="F51" s="70"/>
      <c r="G51" s="69"/>
      <c r="H51" s="232"/>
      <c r="I51" s="69"/>
      <c r="J51" s="69"/>
      <c r="K51" s="69"/>
      <c r="L51" s="69"/>
      <c r="M51" s="69"/>
      <c r="N51" s="69"/>
      <c r="O51" s="68">
        <f>SUM(O48:O50)</f>
        <v>8666.0176713600013</v>
      </c>
    </row>
    <row r="52" spans="1:15" ht="16.5" thickTop="1" thickBot="1" x14ac:dyDescent="0.3">
      <c r="A52" s="67" t="s">
        <v>428</v>
      </c>
      <c r="B52" s="66"/>
      <c r="C52" s="66"/>
      <c r="D52" s="66"/>
      <c r="E52" s="65"/>
      <c r="F52" s="65"/>
      <c r="G52" s="65"/>
      <c r="H52" s="224"/>
      <c r="I52" s="65"/>
      <c r="J52" s="65"/>
      <c r="K52" s="65"/>
      <c r="L52" s="65"/>
      <c r="M52" s="65"/>
      <c r="N52" s="65"/>
      <c r="O52" s="64">
        <f>SUM(O51,O46)</f>
        <v>13134.229228576001</v>
      </c>
    </row>
    <row r="53" spans="1:15" ht="15.75" thickTop="1" x14ac:dyDescent="0.25">
      <c r="O53" s="63">
        <f>O52</f>
        <v>13134.229228576001</v>
      </c>
    </row>
  </sheetData>
  <mergeCells count="4">
    <mergeCell ref="E5:G5"/>
    <mergeCell ref="I5:J5"/>
    <mergeCell ref="E38:G38"/>
    <mergeCell ref="I38:J38"/>
  </mergeCells>
  <pageMargins left="0.7" right="0.7" top="0.75" bottom="0.75" header="0.3" footer="0.3"/>
  <pageSetup paperSize="119" scale="9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3C05-2EC1-46D2-B614-DC75D943F0B7}">
  <sheetPr>
    <tabColor rgb="FF92D050"/>
    <pageSetUpPr fitToPage="1"/>
  </sheetPr>
  <dimension ref="A3:G47"/>
  <sheetViews>
    <sheetView topLeftCell="A9" zoomScale="85" zoomScaleNormal="85" workbookViewId="0">
      <selection activeCell="G47" sqref="G47"/>
    </sheetView>
  </sheetViews>
  <sheetFormatPr defaultColWidth="10.7109375" defaultRowHeight="15" x14ac:dyDescent="0.25"/>
  <cols>
    <col min="1" max="1" width="38.5703125" style="365" bestFit="1" customWidth="1"/>
    <col min="2" max="2" width="43.28515625" style="190" bestFit="1" customWidth="1"/>
    <col min="3" max="3" width="10" style="190" customWidth="1"/>
    <col min="4" max="4" width="10.85546875" style="190" bestFit="1" customWidth="1"/>
    <col min="5" max="5" width="20" style="190" customWidth="1"/>
    <col min="6" max="6" width="10.7109375" style="62"/>
    <col min="7" max="7" width="12" style="62" bestFit="1" customWidth="1"/>
    <col min="8" max="16384" width="10.7109375" style="62"/>
  </cols>
  <sheetData>
    <row r="3" spans="1:5" ht="15.75" thickBot="1" x14ac:dyDescent="0.3">
      <c r="A3" s="362" t="s">
        <v>544</v>
      </c>
      <c r="B3" s="373"/>
      <c r="C3" s="373"/>
      <c r="D3" s="373"/>
      <c r="E3" s="373"/>
    </row>
    <row r="4" spans="1:5" ht="15.75" thickTop="1" x14ac:dyDescent="0.25">
      <c r="A4" s="363" t="s">
        <v>473</v>
      </c>
      <c r="B4" s="386" t="str">
        <f>'DR-Mech'!B2</f>
        <v>Town of Longboat Key</v>
      </c>
      <c r="C4" s="374"/>
      <c r="D4" s="374"/>
      <c r="E4" s="295"/>
    </row>
    <row r="5" spans="1:5" ht="15.75" thickBot="1" x14ac:dyDescent="0.3">
      <c r="A5" s="364" t="s">
        <v>471</v>
      </c>
      <c r="B5" s="387" t="str">
        <f>'DR-Mech'!B3</f>
        <v>Longboat Key Canal Design Permitting &amp; Construction</v>
      </c>
      <c r="C5" s="132"/>
      <c r="D5" s="132"/>
      <c r="E5" s="378"/>
    </row>
    <row r="6" spans="1:5" ht="15.75" thickTop="1" x14ac:dyDescent="0.25">
      <c r="C6" s="110" t="s">
        <v>468</v>
      </c>
    </row>
    <row r="7" spans="1:5" x14ac:dyDescent="0.25">
      <c r="A7" s="198" t="s">
        <v>567</v>
      </c>
      <c r="C7" s="110"/>
    </row>
    <row r="8" spans="1:5" x14ac:dyDescent="0.25">
      <c r="A8" s="365" t="s">
        <v>543</v>
      </c>
      <c r="C8" s="240">
        <v>2</v>
      </c>
      <c r="E8" s="379">
        <f>C8*('DR-Mech'!$O$13+'DR-Mech'!$O$18)</f>
        <v>17679.86284672</v>
      </c>
    </row>
    <row r="9" spans="1:5" x14ac:dyDescent="0.25">
      <c r="A9" s="365" t="s">
        <v>542</v>
      </c>
      <c r="C9" s="240">
        <v>5</v>
      </c>
      <c r="E9" s="379">
        <f>C9*('DR-Mech'!$O$13+'DR-Mech'!$O$18)</f>
        <v>44199.657116800001</v>
      </c>
    </row>
    <row r="10" spans="1:5" x14ac:dyDescent="0.25">
      <c r="A10" s="370" t="s">
        <v>541</v>
      </c>
      <c r="B10" s="195"/>
      <c r="C10" s="241">
        <v>3</v>
      </c>
      <c r="D10" s="195"/>
      <c r="E10" s="380">
        <f>C10*('DR-Mech'!$O$13+'DR-Mech'!$O$18)</f>
        <v>26519.794270079998</v>
      </c>
    </row>
    <row r="11" spans="1:5" x14ac:dyDescent="0.25">
      <c r="A11" s="365" t="s">
        <v>428</v>
      </c>
      <c r="C11" s="110"/>
      <c r="E11" s="379">
        <f>SUM(E8:E10)</f>
        <v>88399.314233599987</v>
      </c>
    </row>
    <row r="12" spans="1:5" x14ac:dyDescent="0.25">
      <c r="C12" s="110"/>
    </row>
    <row r="13" spans="1:5" x14ac:dyDescent="0.25">
      <c r="A13" s="198" t="s">
        <v>540</v>
      </c>
      <c r="C13" s="110"/>
    </row>
    <row r="14" spans="1:5" x14ac:dyDescent="0.25">
      <c r="A14" s="365" t="s">
        <v>539</v>
      </c>
      <c r="C14" s="240">
        <v>0</v>
      </c>
      <c r="E14" s="379">
        <f>C14*('DR-Mech'!$O$13+'DR-Mech'!$O$18)</f>
        <v>0</v>
      </c>
    </row>
    <row r="15" spans="1:5" x14ac:dyDescent="0.25">
      <c r="A15" s="365" t="s">
        <v>538</v>
      </c>
      <c r="C15" s="240">
        <v>0</v>
      </c>
      <c r="E15" s="379">
        <f>C15*('DR-Mech'!$O$13+'DR-Mech'!$O$18)</f>
        <v>0</v>
      </c>
    </row>
    <row r="16" spans="1:5" x14ac:dyDescent="0.25">
      <c r="A16" s="370" t="s">
        <v>537</v>
      </c>
      <c r="B16" s="195"/>
      <c r="C16" s="241">
        <v>0</v>
      </c>
      <c r="D16" s="195"/>
      <c r="E16" s="380">
        <f>C16*('DR-Mech'!$O$13+'DR-Mech'!$O$18+'DR-Mech'!$O$24)</f>
        <v>0</v>
      </c>
    </row>
    <row r="17" spans="1:5" x14ac:dyDescent="0.25">
      <c r="A17" s="365" t="s">
        <v>428</v>
      </c>
      <c r="C17" s="110"/>
      <c r="E17" s="379">
        <f>SUM(E14:E16)</f>
        <v>0</v>
      </c>
    </row>
    <row r="18" spans="1:5" x14ac:dyDescent="0.25">
      <c r="C18" s="110"/>
    </row>
    <row r="19" spans="1:5" x14ac:dyDescent="0.25">
      <c r="A19" s="198" t="s">
        <v>562</v>
      </c>
      <c r="C19" s="240">
        <v>12</v>
      </c>
      <c r="E19" s="379">
        <f>C19*'DR-Mech'!O34</f>
        <v>111995.18484</v>
      </c>
    </row>
    <row r="20" spans="1:5" x14ac:dyDescent="0.25">
      <c r="A20" s="198"/>
      <c r="C20" s="110"/>
      <c r="E20" s="379"/>
    </row>
    <row r="21" spans="1:5" x14ac:dyDescent="0.25">
      <c r="B21" s="190" t="s">
        <v>531</v>
      </c>
      <c r="C21" s="110" t="s">
        <v>509</v>
      </c>
      <c r="D21" s="190" t="s">
        <v>530</v>
      </c>
    </row>
    <row r="22" spans="1:5" x14ac:dyDescent="0.25">
      <c r="A22" s="198" t="s">
        <v>440</v>
      </c>
      <c r="C22" s="110"/>
    </row>
    <row r="23" spans="1:5" x14ac:dyDescent="0.25">
      <c r="A23" s="370" t="s">
        <v>536</v>
      </c>
      <c r="B23" s="94"/>
      <c r="C23" s="241">
        <v>1</v>
      </c>
      <c r="D23" s="380">
        <v>20000</v>
      </c>
      <c r="E23" s="380">
        <f>D23*C23</f>
        <v>20000</v>
      </c>
    </row>
    <row r="24" spans="1:5" x14ac:dyDescent="0.25">
      <c r="A24" s="365" t="s">
        <v>428</v>
      </c>
      <c r="B24" s="110"/>
      <c r="C24" s="110" t="s">
        <v>535</v>
      </c>
      <c r="E24" s="379">
        <f>SUM(E23:E23)</f>
        <v>20000</v>
      </c>
    </row>
    <row r="25" spans="1:5" x14ac:dyDescent="0.25">
      <c r="B25" s="110"/>
      <c r="C25" s="110"/>
    </row>
    <row r="26" spans="1:5" x14ac:dyDescent="0.25">
      <c r="B26" s="190" t="s">
        <v>531</v>
      </c>
      <c r="C26" s="110" t="s">
        <v>509</v>
      </c>
      <c r="D26" s="190" t="s">
        <v>530</v>
      </c>
    </row>
    <row r="27" spans="1:5" x14ac:dyDescent="0.25">
      <c r="A27" s="198" t="s">
        <v>439</v>
      </c>
      <c r="B27" s="110"/>
      <c r="C27" s="110"/>
    </row>
    <row r="28" spans="1:5" x14ac:dyDescent="0.25">
      <c r="A28" s="365" t="s">
        <v>534</v>
      </c>
      <c r="B28" s="240">
        <v>1</v>
      </c>
      <c r="C28" s="110"/>
      <c r="D28" s="379">
        <f>'DR-Mech'!O34</f>
        <v>9332.9320700000007</v>
      </c>
      <c r="E28" s="379">
        <f>D28*B28</f>
        <v>9332.9320700000007</v>
      </c>
    </row>
    <row r="29" spans="1:5" x14ac:dyDescent="0.25">
      <c r="A29" s="365" t="s">
        <v>533</v>
      </c>
      <c r="B29" s="240">
        <v>1</v>
      </c>
      <c r="C29" s="110"/>
      <c r="D29" s="381">
        <v>1000</v>
      </c>
      <c r="E29" s="379">
        <f>D29*B29</f>
        <v>1000</v>
      </c>
    </row>
    <row r="30" spans="1:5" x14ac:dyDescent="0.25">
      <c r="A30" s="370" t="s">
        <v>532</v>
      </c>
      <c r="B30" s="241">
        <v>1</v>
      </c>
      <c r="C30" s="94"/>
      <c r="D30" s="382">
        <v>5000</v>
      </c>
      <c r="E30" s="380">
        <f>D30*B30</f>
        <v>5000</v>
      </c>
    </row>
    <row r="31" spans="1:5" x14ac:dyDescent="0.25">
      <c r="A31" s="365" t="s">
        <v>428</v>
      </c>
      <c r="B31" s="110"/>
      <c r="C31" s="110"/>
      <c r="E31" s="379">
        <f>SUM(E28:E30)</f>
        <v>15332.932070000001</v>
      </c>
    </row>
    <row r="32" spans="1:5" x14ac:dyDescent="0.25">
      <c r="B32" s="110"/>
      <c r="C32" s="110"/>
      <c r="E32" s="379"/>
    </row>
    <row r="33" spans="1:7" x14ac:dyDescent="0.25">
      <c r="B33" s="375"/>
      <c r="C33" s="375" t="s">
        <v>468</v>
      </c>
      <c r="D33" s="375" t="s">
        <v>530</v>
      </c>
    </row>
    <row r="34" spans="1:7" x14ac:dyDescent="0.25">
      <c r="A34" s="198" t="s">
        <v>642</v>
      </c>
      <c r="B34" s="110"/>
      <c r="C34" s="110"/>
      <c r="E34" s="379"/>
    </row>
    <row r="35" spans="1:7" x14ac:dyDescent="0.25">
      <c r="A35" s="366" t="s">
        <v>643</v>
      </c>
      <c r="B35" s="110"/>
      <c r="C35" s="110">
        <f>E46</f>
        <v>22</v>
      </c>
      <c r="D35" s="379">
        <f>Overhead!K39</f>
        <v>1705.6666666666667</v>
      </c>
      <c r="E35" s="379">
        <f>D35*C35</f>
        <v>37524.666666666672</v>
      </c>
    </row>
    <row r="36" spans="1:7" x14ac:dyDescent="0.25">
      <c r="A36" s="366" t="s">
        <v>644</v>
      </c>
      <c r="B36" s="110"/>
      <c r="C36" s="110">
        <f>Overhead!G9</f>
        <v>5</v>
      </c>
      <c r="D36" s="379">
        <f>Overhead!K39</f>
        <v>1705.6666666666667</v>
      </c>
      <c r="E36" s="379">
        <f>D36*C36</f>
        <v>8528.3333333333339</v>
      </c>
    </row>
    <row r="37" spans="1:7" x14ac:dyDescent="0.25">
      <c r="A37" s="391"/>
      <c r="B37" s="89"/>
      <c r="C37" s="89"/>
      <c r="D37" s="392"/>
      <c r="E37" s="392">
        <f>SUM(E35:E36)</f>
        <v>46053.000000000007</v>
      </c>
    </row>
    <row r="38" spans="1:7" x14ac:dyDescent="0.25">
      <c r="A38" s="366"/>
      <c r="B38" s="110"/>
      <c r="C38" s="110"/>
    </row>
    <row r="39" spans="1:7" x14ac:dyDescent="0.25">
      <c r="B39" s="190" t="s">
        <v>531</v>
      </c>
      <c r="C39" s="110" t="s">
        <v>509</v>
      </c>
      <c r="D39" s="190" t="s">
        <v>530</v>
      </c>
    </row>
    <row r="40" spans="1:7" x14ac:dyDescent="0.25">
      <c r="A40" s="198" t="s">
        <v>529</v>
      </c>
      <c r="B40" s="110"/>
      <c r="C40" s="110"/>
    </row>
    <row r="41" spans="1:7" x14ac:dyDescent="0.25">
      <c r="A41" s="365" t="s">
        <v>528</v>
      </c>
      <c r="B41" s="240">
        <v>1</v>
      </c>
      <c r="C41" s="240"/>
      <c r="D41" s="383">
        <v>25000</v>
      </c>
      <c r="E41" s="379">
        <f>D41*B41</f>
        <v>25000</v>
      </c>
    </row>
    <row r="42" spans="1:7" x14ac:dyDescent="0.25">
      <c r="A42" s="365" t="s">
        <v>527</v>
      </c>
      <c r="B42" s="240"/>
      <c r="C42" s="240">
        <v>10</v>
      </c>
      <c r="D42" s="381">
        <v>2500</v>
      </c>
      <c r="E42" s="379">
        <f>D42*C42</f>
        <v>25000</v>
      </c>
    </row>
    <row r="43" spans="1:7" x14ac:dyDescent="0.25">
      <c r="A43" s="370" t="s">
        <v>526</v>
      </c>
      <c r="B43" s="241">
        <v>1</v>
      </c>
      <c r="C43" s="241"/>
      <c r="D43" s="382">
        <v>35000</v>
      </c>
      <c r="E43" s="380">
        <f>D43*B43</f>
        <v>35000</v>
      </c>
    </row>
    <row r="44" spans="1:7" x14ac:dyDescent="0.25">
      <c r="A44" s="365" t="s">
        <v>428</v>
      </c>
      <c r="E44" s="379">
        <f>SUM(E41:E43)</f>
        <v>85000</v>
      </c>
    </row>
    <row r="45" spans="1:7" ht="15.75" thickBot="1" x14ac:dyDescent="0.3"/>
    <row r="46" spans="1:7" x14ac:dyDescent="0.25">
      <c r="A46" s="371" t="s">
        <v>525</v>
      </c>
      <c r="B46" s="376"/>
      <c r="C46" s="376"/>
      <c r="D46" s="376"/>
      <c r="E46" s="384">
        <f>SUM(C8:C10,C14:C16,C19)</f>
        <v>22</v>
      </c>
    </row>
    <row r="47" spans="1:7" ht="15.75" thickBot="1" x14ac:dyDescent="0.3">
      <c r="A47" s="372" t="s">
        <v>524</v>
      </c>
      <c r="B47" s="377"/>
      <c r="C47" s="377"/>
      <c r="D47" s="377"/>
      <c r="E47" s="385">
        <f>SUM(E44,E31,E24,E19,E17,E11,E37)</f>
        <v>366780.43114359997</v>
      </c>
      <c r="G47" s="81"/>
    </row>
  </sheetData>
  <pageMargins left="0.7" right="0.7" top="0.75" bottom="0.75" header="0.3" footer="0.3"/>
  <pageSetup paperSize="1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EECB-6A39-4117-BCE6-1EA2CC042C68}">
  <sheetPr>
    <tabColor rgb="FF92D050"/>
    <pageSetUpPr fitToPage="1"/>
  </sheetPr>
  <dimension ref="A3:E42"/>
  <sheetViews>
    <sheetView topLeftCell="A8" zoomScale="85" zoomScaleNormal="85" workbookViewId="0">
      <selection activeCell="J29" sqref="J29"/>
    </sheetView>
  </sheetViews>
  <sheetFormatPr defaultColWidth="10.7109375" defaultRowHeight="15" outlineLevelRow="1" x14ac:dyDescent="0.25"/>
  <cols>
    <col min="1" max="1" width="45.140625" style="62" bestFit="1" customWidth="1"/>
    <col min="2" max="2" width="43.28515625" style="190" bestFit="1" customWidth="1"/>
    <col min="3" max="3" width="12.28515625" style="190" customWidth="1"/>
    <col min="4" max="4" width="16.42578125" style="190" customWidth="1"/>
    <col min="5" max="5" width="15.28515625" style="190" customWidth="1"/>
    <col min="6" max="16384" width="10.7109375" style="62"/>
  </cols>
  <sheetData>
    <row r="3" spans="1:5" ht="15.75" thickBot="1" x14ac:dyDescent="0.3">
      <c r="A3" s="139" t="s">
        <v>550</v>
      </c>
      <c r="B3" s="373"/>
      <c r="C3" s="373"/>
      <c r="D3" s="373"/>
      <c r="E3" s="373"/>
    </row>
    <row r="4" spans="1:5" ht="15.75" thickTop="1" x14ac:dyDescent="0.25">
      <c r="A4" s="170" t="s">
        <v>473</v>
      </c>
      <c r="B4" s="390" t="str">
        <f>'DR-Mech'!B2</f>
        <v>Town of Longboat Key</v>
      </c>
      <c r="C4" s="137"/>
      <c r="D4" s="137"/>
      <c r="E4" s="295"/>
    </row>
    <row r="5" spans="1:5" ht="15.75" thickBot="1" x14ac:dyDescent="0.3">
      <c r="A5" s="133" t="s">
        <v>471</v>
      </c>
      <c r="B5" s="387" t="str">
        <f>'DR-Mech'!B3</f>
        <v>Longboat Key Canal Design Permitting &amp; Construction</v>
      </c>
      <c r="C5" s="132"/>
      <c r="D5" s="132"/>
      <c r="E5" s="378"/>
    </row>
    <row r="6" spans="1:5" ht="15.75" thickTop="1" x14ac:dyDescent="0.25">
      <c r="A6" s="388"/>
      <c r="B6" s="137"/>
      <c r="C6" s="137" t="s">
        <v>468</v>
      </c>
      <c r="D6" s="137"/>
      <c r="E6" s="389"/>
    </row>
    <row r="7" spans="1:5" x14ac:dyDescent="0.25">
      <c r="A7" s="361" t="s">
        <v>567</v>
      </c>
    </row>
    <row r="8" spans="1:5" x14ac:dyDescent="0.25">
      <c r="A8" s="62" t="s">
        <v>543</v>
      </c>
      <c r="B8" s="110"/>
      <c r="C8" s="240">
        <v>2</v>
      </c>
      <c r="E8" s="379">
        <f>C8*('DR-Mech'!$O$13+'DR-Mech'!$O$18)</f>
        <v>17679.86284672</v>
      </c>
    </row>
    <row r="9" spans="1:5" x14ac:dyDescent="0.25">
      <c r="A9" s="93" t="s">
        <v>549</v>
      </c>
      <c r="B9" s="94"/>
      <c r="C9" s="241">
        <v>5</v>
      </c>
      <c r="D9" s="195"/>
      <c r="E9" s="380">
        <f>C9*('DR-Mech'!$O$13+'DR-Mech'!$O$18)</f>
        <v>44199.657116800001</v>
      </c>
    </row>
    <row r="10" spans="1:5" x14ac:dyDescent="0.25">
      <c r="A10" s="62" t="s">
        <v>428</v>
      </c>
      <c r="B10" s="110"/>
      <c r="C10" s="110"/>
      <c r="E10" s="379">
        <f>SUM(E8:E9)</f>
        <v>61879.519963519997</v>
      </c>
    </row>
    <row r="11" spans="1:5" x14ac:dyDescent="0.25">
      <c r="B11" s="110"/>
      <c r="C11" s="110"/>
    </row>
    <row r="12" spans="1:5" x14ac:dyDescent="0.25">
      <c r="A12" s="361" t="s">
        <v>540</v>
      </c>
      <c r="B12" s="110"/>
      <c r="C12" s="110"/>
    </row>
    <row r="13" spans="1:5" x14ac:dyDescent="0.25">
      <c r="A13" s="62" t="s">
        <v>539</v>
      </c>
      <c r="B13" s="110"/>
      <c r="C13" s="240">
        <v>0</v>
      </c>
      <c r="E13" s="379">
        <f>C13*('DR-Mech'!$O$13+'DR-Mech'!$O$24)</f>
        <v>0</v>
      </c>
    </row>
    <row r="14" spans="1:5" x14ac:dyDescent="0.25">
      <c r="A14" s="93" t="s">
        <v>538</v>
      </c>
      <c r="B14" s="94"/>
      <c r="C14" s="241">
        <v>0</v>
      </c>
      <c r="D14" s="195"/>
      <c r="E14" s="380">
        <f>C14*('DR-Mech'!$O$13+'DR-Mech'!$O$24)</f>
        <v>0</v>
      </c>
    </row>
    <row r="15" spans="1:5" x14ac:dyDescent="0.25">
      <c r="A15" s="62" t="s">
        <v>428</v>
      </c>
      <c r="B15" s="110"/>
      <c r="C15" s="110"/>
      <c r="E15" s="379">
        <f>SUM(E13:E14)</f>
        <v>0</v>
      </c>
    </row>
    <row r="16" spans="1:5" x14ac:dyDescent="0.25">
      <c r="B16" s="110"/>
      <c r="C16" s="110"/>
    </row>
    <row r="17" spans="1:5" x14ac:dyDescent="0.25">
      <c r="A17" s="361" t="s">
        <v>616</v>
      </c>
      <c r="C17" s="240">
        <v>12</v>
      </c>
      <c r="E17" s="379">
        <f>C17*'DR-Mech'!O34</f>
        <v>111995.18484</v>
      </c>
    </row>
    <row r="19" spans="1:5" outlineLevel="1" x14ac:dyDescent="0.25">
      <c r="B19" s="110" t="s">
        <v>531</v>
      </c>
      <c r="C19" s="110" t="s">
        <v>509</v>
      </c>
      <c r="D19" s="190" t="s">
        <v>530</v>
      </c>
    </row>
    <row r="20" spans="1:5" outlineLevel="1" x14ac:dyDescent="0.25">
      <c r="A20" s="361" t="s">
        <v>440</v>
      </c>
      <c r="B20" s="110"/>
      <c r="C20" s="110"/>
    </row>
    <row r="21" spans="1:5" outlineLevel="1" x14ac:dyDescent="0.25">
      <c r="A21" s="361"/>
      <c r="B21" s="110"/>
      <c r="C21" s="110"/>
    </row>
    <row r="22" spans="1:5" x14ac:dyDescent="0.25">
      <c r="A22" s="93"/>
      <c r="B22" s="94"/>
      <c r="C22" s="94"/>
      <c r="D22" s="380"/>
      <c r="E22" s="380"/>
    </row>
    <row r="23" spans="1:5" x14ac:dyDescent="0.25">
      <c r="A23" s="62" t="s">
        <v>428</v>
      </c>
      <c r="B23" s="110"/>
      <c r="C23" s="110"/>
      <c r="E23" s="379">
        <f>SUM(E22:E22)</f>
        <v>0</v>
      </c>
    </row>
    <row r="24" spans="1:5" x14ac:dyDescent="0.25">
      <c r="B24" s="110"/>
      <c r="C24" s="110"/>
    </row>
    <row r="25" spans="1:5" x14ac:dyDescent="0.25">
      <c r="A25" s="361" t="s">
        <v>439</v>
      </c>
      <c r="B25" s="110"/>
      <c r="C25" s="110"/>
    </row>
    <row r="26" spans="1:5" x14ac:dyDescent="0.25">
      <c r="A26" s="62" t="s">
        <v>548</v>
      </c>
      <c r="B26" s="240">
        <v>3</v>
      </c>
      <c r="C26" s="110"/>
      <c r="D26" s="379">
        <f>'DR-Mech'!O34</f>
        <v>9332.9320700000007</v>
      </c>
      <c r="E26" s="379">
        <f>D26*B26</f>
        <v>27998.79621</v>
      </c>
    </row>
    <row r="27" spans="1:5" x14ac:dyDescent="0.25">
      <c r="A27" s="93" t="s">
        <v>547</v>
      </c>
      <c r="B27" s="241">
        <v>1</v>
      </c>
      <c r="C27" s="94"/>
      <c r="D27" s="382">
        <v>5000</v>
      </c>
      <c r="E27" s="380">
        <f>D27*B27</f>
        <v>5000</v>
      </c>
    </row>
    <row r="28" spans="1:5" x14ac:dyDescent="0.25">
      <c r="A28" s="62" t="s">
        <v>428</v>
      </c>
      <c r="B28" s="110"/>
      <c r="C28" s="110"/>
      <c r="E28" s="379">
        <f>SUM(E26:E27)</f>
        <v>32998.79621</v>
      </c>
    </row>
    <row r="29" spans="1:5" x14ac:dyDescent="0.25">
      <c r="B29" s="110"/>
      <c r="C29" s="110"/>
      <c r="E29" s="379"/>
    </row>
    <row r="30" spans="1:5" x14ac:dyDescent="0.25">
      <c r="B30" s="375"/>
      <c r="C30" s="375" t="s">
        <v>468</v>
      </c>
      <c r="D30" s="375" t="s">
        <v>530</v>
      </c>
    </row>
    <row r="31" spans="1:5" x14ac:dyDescent="0.25">
      <c r="A31" s="361" t="s">
        <v>642</v>
      </c>
      <c r="B31" s="110"/>
      <c r="C31" s="110"/>
      <c r="E31" s="379"/>
    </row>
    <row r="32" spans="1:5" x14ac:dyDescent="0.25">
      <c r="A32" s="284" t="s">
        <v>643</v>
      </c>
      <c r="B32" s="110"/>
      <c r="C32" s="110">
        <f>E41</f>
        <v>19</v>
      </c>
      <c r="D32" s="379">
        <f>Overhead!K39</f>
        <v>1705.6666666666667</v>
      </c>
      <c r="E32" s="379">
        <f>D32*C32</f>
        <v>32407.666666666668</v>
      </c>
    </row>
    <row r="33" spans="1:5" x14ac:dyDescent="0.25">
      <c r="A33" s="284" t="s">
        <v>644</v>
      </c>
      <c r="B33" s="110"/>
      <c r="C33" s="110">
        <f>Overhead!G11</f>
        <v>5</v>
      </c>
      <c r="D33" s="379">
        <f>Overhead!K39</f>
        <v>1705.6666666666667</v>
      </c>
      <c r="E33" s="379">
        <f>D33*C33</f>
        <v>8528.3333333333339</v>
      </c>
    </row>
    <row r="34" spans="1:5" x14ac:dyDescent="0.25">
      <c r="A34" s="393"/>
      <c r="B34" s="89"/>
      <c r="C34" s="89"/>
      <c r="D34" s="392"/>
      <c r="E34" s="392">
        <f>SUM(E32:E33)</f>
        <v>40936</v>
      </c>
    </row>
    <row r="35" spans="1:5" x14ac:dyDescent="0.25">
      <c r="B35" s="110"/>
      <c r="C35" s="110"/>
    </row>
    <row r="36" spans="1:5" x14ac:dyDescent="0.25">
      <c r="A36" s="361" t="s">
        <v>529</v>
      </c>
      <c r="B36" s="110"/>
      <c r="C36" s="110"/>
    </row>
    <row r="37" spans="1:5" x14ac:dyDescent="0.25">
      <c r="A37" s="62" t="s">
        <v>527</v>
      </c>
      <c r="B37" s="110"/>
      <c r="C37" s="396">
        <v>10</v>
      </c>
      <c r="D37" s="381">
        <v>2500</v>
      </c>
      <c r="E37" s="379">
        <f>D37*C37</f>
        <v>25000</v>
      </c>
    </row>
    <row r="38" spans="1:5" x14ac:dyDescent="0.25">
      <c r="A38" s="93" t="s">
        <v>546</v>
      </c>
      <c r="B38" s="241">
        <v>1</v>
      </c>
      <c r="C38" s="94"/>
      <c r="D38" s="382">
        <v>35000</v>
      </c>
      <c r="E38" s="380">
        <f>D38*B38</f>
        <v>35000</v>
      </c>
    </row>
    <row r="39" spans="1:5" x14ac:dyDescent="0.25">
      <c r="A39" s="62" t="s">
        <v>428</v>
      </c>
      <c r="E39" s="379">
        <f>SUM(E37:E38)</f>
        <v>60000</v>
      </c>
    </row>
    <row r="40" spans="1:5" ht="15.75" thickBot="1" x14ac:dyDescent="0.3"/>
    <row r="41" spans="1:5" x14ac:dyDescent="0.25">
      <c r="A41" s="368" t="s">
        <v>525</v>
      </c>
      <c r="B41" s="376"/>
      <c r="C41" s="376"/>
      <c r="D41" s="376"/>
      <c r="E41" s="384">
        <f>SUM(C13:C14,C17,C8:C9)</f>
        <v>19</v>
      </c>
    </row>
    <row r="42" spans="1:5" ht="15.75" thickBot="1" x14ac:dyDescent="0.3">
      <c r="A42" s="369" t="s">
        <v>545</v>
      </c>
      <c r="B42" s="377"/>
      <c r="C42" s="377"/>
      <c r="D42" s="377"/>
      <c r="E42" s="385">
        <f>SUM(E39,E28,E23,E15,E10,E17,E34)</f>
        <v>307809.50101352</v>
      </c>
    </row>
  </sheetData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DCC9-DA6F-41A5-B048-28EE2238FE65}">
  <sheetPr>
    <tabColor rgb="FFFF0000"/>
  </sheetPr>
  <dimension ref="B2:N36"/>
  <sheetViews>
    <sheetView workbookViewId="0">
      <selection activeCell="D4" sqref="D4"/>
    </sheetView>
  </sheetViews>
  <sheetFormatPr defaultColWidth="8.85546875" defaultRowHeight="15" x14ac:dyDescent="0.25"/>
  <cols>
    <col min="1" max="1" width="8.85546875" style="263"/>
    <col min="2" max="2" width="14" style="263" customWidth="1"/>
    <col min="3" max="3" width="17.5703125" style="263" customWidth="1"/>
    <col min="4" max="4" width="20" style="263" bestFit="1" customWidth="1"/>
    <col min="5" max="5" width="16.28515625" style="263" bestFit="1" customWidth="1"/>
    <col min="6" max="6" width="26.85546875" style="263" customWidth="1"/>
    <col min="7" max="7" width="26.28515625" style="263" bestFit="1" customWidth="1"/>
    <col min="8" max="8" width="23.28515625" style="263" bestFit="1" customWidth="1"/>
    <col min="9" max="10" width="23.28515625" style="263" customWidth="1"/>
    <col min="11" max="11" width="17.140625" style="263" customWidth="1"/>
    <col min="12" max="12" width="8.85546875" style="263"/>
    <col min="13" max="13" width="11.140625" style="263" bestFit="1" customWidth="1"/>
    <col min="14" max="16384" width="8.85546875" style="263"/>
  </cols>
  <sheetData>
    <row r="2" spans="2:14" ht="15.75" thickBot="1" x14ac:dyDescent="0.3"/>
    <row r="3" spans="2:14" ht="16.5" thickTop="1" thickBot="1" x14ac:dyDescent="0.3">
      <c r="B3" s="493" t="s">
        <v>603</v>
      </c>
      <c r="C3" s="494"/>
      <c r="D3" s="314">
        <v>1</v>
      </c>
    </row>
    <row r="4" spans="2:14" ht="16.5" thickTop="1" thickBot="1" x14ac:dyDescent="0.3"/>
    <row r="5" spans="2:14" ht="43.15" customHeight="1" thickTop="1" thickBot="1" x14ac:dyDescent="0.3">
      <c r="B5" s="498" t="s">
        <v>602</v>
      </c>
      <c r="C5" s="499"/>
      <c r="D5" s="317">
        <f>SUMIF(Table!F:F,'Quick Summary'!D3,Table!R:R)</f>
        <v>252550.94628903261</v>
      </c>
    </row>
    <row r="6" spans="2:14" ht="16.5" thickTop="1" thickBot="1" x14ac:dyDescent="0.3"/>
    <row r="7" spans="2:14" ht="30" customHeight="1" thickTop="1" thickBot="1" x14ac:dyDescent="0.3">
      <c r="B7" s="319" t="s">
        <v>615</v>
      </c>
      <c r="C7" s="318" t="s">
        <v>598</v>
      </c>
      <c r="D7" s="318" t="s">
        <v>599</v>
      </c>
      <c r="E7" s="318" t="s">
        <v>597</v>
      </c>
      <c r="F7" s="320" t="s">
        <v>664</v>
      </c>
    </row>
    <row r="8" spans="2:14" ht="16.5" thickTop="1" thickBot="1" x14ac:dyDescent="0.3">
      <c r="B8" s="322">
        <f>COUNTIF(Table!F:F,'Quick Summary'!D3)</f>
        <v>16</v>
      </c>
      <c r="C8" s="337">
        <f>AVERAGEIF(Table!F:F,'Quick Summary'!D3,Table!K:K)</f>
        <v>0.6264538580292407</v>
      </c>
      <c r="D8" s="337">
        <f>AVERAGEIF(Table!F:F,'Quick Summary'!D3,Table!AI:AI)</f>
        <v>3.3092007025629044</v>
      </c>
      <c r="E8" s="337">
        <f>AVERAGEIF(Table!F:F,'Quick Summary'!D3,Table!AA:AA)</f>
        <v>44.718928413012215</v>
      </c>
      <c r="F8" s="403">
        <f>SUMIF(Table!F:F,'Quick Summary'!D3,Table!AC:AC)</f>
        <v>0.94698691460055084</v>
      </c>
    </row>
    <row r="9" spans="2:14" ht="15.75" thickTop="1" x14ac:dyDescent="0.25"/>
    <row r="10" spans="2:14" ht="14.45" customHeight="1" x14ac:dyDescent="0.25">
      <c r="B10" s="497" t="s">
        <v>604</v>
      </c>
      <c r="C10" s="497"/>
      <c r="D10" s="497"/>
      <c r="E10" s="497"/>
      <c r="F10" s="497"/>
      <c r="G10" s="497"/>
      <c r="H10" s="497"/>
      <c r="I10" s="497"/>
      <c r="J10" s="497"/>
      <c r="K10" s="497"/>
    </row>
    <row r="11" spans="2:14" ht="14.45" customHeight="1" x14ac:dyDescent="0.25">
      <c r="B11" s="497"/>
      <c r="C11" s="497"/>
      <c r="D11" s="497"/>
      <c r="E11" s="497"/>
      <c r="F11" s="497"/>
      <c r="G11" s="497"/>
      <c r="H11" s="497"/>
      <c r="I11" s="497"/>
      <c r="J11" s="497"/>
      <c r="K11" s="497"/>
    </row>
    <row r="12" spans="2:14" ht="15" customHeight="1" x14ac:dyDescent="0.25">
      <c r="B12" s="495" t="s">
        <v>630</v>
      </c>
      <c r="C12" s="495" t="s">
        <v>632</v>
      </c>
      <c r="D12" s="495" t="s">
        <v>663</v>
      </c>
      <c r="E12" s="495" t="s">
        <v>596</v>
      </c>
      <c r="F12" s="495" t="s">
        <v>597</v>
      </c>
      <c r="G12" s="496" t="s">
        <v>659</v>
      </c>
      <c r="H12" s="495" t="s">
        <v>658</v>
      </c>
      <c r="I12" s="495" t="s">
        <v>660</v>
      </c>
      <c r="J12" s="495" t="s">
        <v>661</v>
      </c>
      <c r="K12" s="496" t="s">
        <v>662</v>
      </c>
    </row>
    <row r="13" spans="2:14" x14ac:dyDescent="0.25">
      <c r="B13" s="495"/>
      <c r="C13" s="495"/>
      <c r="D13" s="495"/>
      <c r="E13" s="495"/>
      <c r="F13" s="495"/>
      <c r="G13" s="496"/>
      <c r="H13" s="495"/>
      <c r="I13" s="495"/>
      <c r="J13" s="495"/>
      <c r="K13" s="496"/>
      <c r="N13" s="334"/>
    </row>
    <row r="14" spans="2:14" x14ac:dyDescent="0.25">
      <c r="B14" s="321">
        <f>'PrismQC Vols'!G14</f>
        <v>6.7515095013184839E-2</v>
      </c>
      <c r="C14" s="325">
        <f>D5*B14</f>
        <v>17051.001134373779</v>
      </c>
      <c r="D14" s="326">
        <f>C14*C8</f>
        <v>10681.665443889413</v>
      </c>
      <c r="E14" s="326">
        <f>SUMIF(Table!F:F,'Quick Summary'!D3,Table!L:L)</f>
        <v>674589.93215711985</v>
      </c>
      <c r="F14" s="326">
        <f>E8*C14</f>
        <v>762502.49909825111</v>
      </c>
      <c r="G14" s="326">
        <f>D8*C14</f>
        <v>56425.18493327059</v>
      </c>
      <c r="H14" s="326">
        <f>F8*(275000/2.47105)</f>
        <v>105388.96481866068</v>
      </c>
      <c r="I14" s="326">
        <f>SUM(D14:H14)*0.1</f>
        <v>160958.82464511917</v>
      </c>
      <c r="J14" s="326">
        <f>SUM(D14:H14)*0.05</f>
        <v>80479.412322559583</v>
      </c>
      <c r="K14" s="326">
        <f>SUM(D14:J14)</f>
        <v>1851026.4834188705</v>
      </c>
    </row>
    <row r="15" spans="2:14" ht="9" customHeight="1" x14ac:dyDescent="0.25"/>
    <row r="16" spans="2:14" ht="15.75" x14ac:dyDescent="0.25">
      <c r="B16" s="497" t="s">
        <v>607</v>
      </c>
      <c r="C16" s="497"/>
      <c r="D16" s="497"/>
      <c r="E16" s="497"/>
      <c r="F16" s="497"/>
      <c r="G16" s="497"/>
      <c r="H16" s="497"/>
      <c r="I16" s="497"/>
      <c r="J16" s="497"/>
      <c r="K16" s="497"/>
    </row>
    <row r="17" spans="2:13" ht="14.45" customHeight="1" x14ac:dyDescent="0.25">
      <c r="B17" s="496" t="s">
        <v>606</v>
      </c>
      <c r="C17" s="496"/>
      <c r="D17" s="495" t="s">
        <v>663</v>
      </c>
      <c r="E17" s="495" t="s">
        <v>596</v>
      </c>
      <c r="F17" s="495" t="s">
        <v>597</v>
      </c>
      <c r="G17" s="496" t="s">
        <v>659</v>
      </c>
      <c r="H17" s="495" t="s">
        <v>658</v>
      </c>
      <c r="I17" s="495" t="s">
        <v>660</v>
      </c>
      <c r="J17" s="495" t="s">
        <v>661</v>
      </c>
      <c r="K17" s="496" t="s">
        <v>662</v>
      </c>
    </row>
    <row r="18" spans="2:13" x14ac:dyDescent="0.25">
      <c r="B18" s="496"/>
      <c r="C18" s="496"/>
      <c r="D18" s="495"/>
      <c r="E18" s="495"/>
      <c r="F18" s="495"/>
      <c r="G18" s="496"/>
      <c r="H18" s="495"/>
      <c r="I18" s="495"/>
      <c r="J18" s="495"/>
      <c r="K18" s="496"/>
    </row>
    <row r="19" spans="2:13" x14ac:dyDescent="0.25">
      <c r="B19" s="500">
        <v>2023</v>
      </c>
      <c r="C19" s="500"/>
      <c r="D19" s="326">
        <f>(LOOKUP($B$19,Lists!$A$10:$A$20,Lists!$D$10:$D$20))*$D$14</f>
        <v>10681.665443889413</v>
      </c>
      <c r="E19" s="326">
        <f>(LOOKUP($B$19,Lists!$A$10:$A$20,Lists!$D$10:$D$20))*$E$14</f>
        <v>674589.93215711985</v>
      </c>
      <c r="F19" s="326">
        <f>(LOOKUP($B$19,Lists!$A$10:$A$20,Lists!$D$10:$D$20))*$F$14</f>
        <v>762502.49909825111</v>
      </c>
      <c r="G19" s="326">
        <f>(LOOKUP($B$19,Lists!$A$10:$A$20,Lists!$D$10:$D$20))*$G$14</f>
        <v>56425.18493327059</v>
      </c>
      <c r="H19" s="326">
        <f>(LOOKUP($B$19,Lists!$A$10:$A$20,Lists!$D$10:$D$20))*$H$14</f>
        <v>105388.96481866068</v>
      </c>
      <c r="I19" s="326">
        <f>(LOOKUP($B$19,Lists!$A$10:$A$20,Lists!$D$10:$D$20))*$I$14</f>
        <v>160958.82464511917</v>
      </c>
      <c r="J19" s="326">
        <f>(LOOKUP($B$19,Lists!$A$10:$A$20,Lists!$D$10:$D$20))*$J$14</f>
        <v>80479.412322559583</v>
      </c>
      <c r="K19" s="326">
        <f>(LOOKUP($B$19,Lists!$A$10:$A$20,Lists!$D$10:$D$20))*$K$14</f>
        <v>1851026.4834188705</v>
      </c>
    </row>
    <row r="20" spans="2:13" x14ac:dyDescent="0.25">
      <c r="B20" s="500">
        <v>2024</v>
      </c>
      <c r="C20" s="500"/>
      <c r="D20" s="326">
        <f>(LOOKUP($B$20,Lists!$A$10:$A$20,Lists!$D$10:$D$20))*$D$14</f>
        <v>11173.022054308327</v>
      </c>
      <c r="E20" s="326">
        <f>(LOOKUP($B$20,Lists!$A$10:$A$20,Lists!$D$10:$D$20))*$E$14</f>
        <v>705621.06903634744</v>
      </c>
      <c r="F20" s="326">
        <f>(LOOKUP($B$20,Lists!$A$10:$A$20,Lists!$D$10:$D$20))*$F$14</f>
        <v>797577.61405677069</v>
      </c>
      <c r="G20" s="326">
        <f>(LOOKUP($B$20,Lists!$A$10:$A$20,Lists!$D$10:$D$20))*$G$14</f>
        <v>59020.74344020104</v>
      </c>
      <c r="H20" s="326">
        <f>(LOOKUP($B$20,Lists!$A$10:$A$20,Lists!$D$10:$D$20))*$H$14</f>
        <v>110236.85720031908</v>
      </c>
      <c r="I20" s="326">
        <f>(LOOKUP($B$20,Lists!$A$10:$A$20,Lists!$D$10:$D$20))*$I$14</f>
        <v>168362.93057879465</v>
      </c>
      <c r="J20" s="326">
        <f>(LOOKUP($B$20,Lists!$A$10:$A$20,Lists!$D$10:$D$20))*$J$14</f>
        <v>84181.465289397325</v>
      </c>
      <c r="K20" s="326">
        <f>(LOOKUP($B$20,Lists!$A$10:$A$20,Lists!$D$10:$D$20))*$K$14</f>
        <v>1936173.7016561385</v>
      </c>
    </row>
    <row r="21" spans="2:13" x14ac:dyDescent="0.25">
      <c r="B21" s="500">
        <v>2025</v>
      </c>
      <c r="C21" s="500"/>
      <c r="D21" s="326">
        <f>(LOOKUP($B$21,Lists!$A$10:$A$20,Lists!$D$10:$D$20))*$D$14</f>
        <v>11642.288980589277</v>
      </c>
      <c r="E21" s="326">
        <f>(LOOKUP($B$21,Lists!$A$10:$A$20,Lists!$D$10:$D$20))*$E$14</f>
        <v>735257.153935874</v>
      </c>
      <c r="F21" s="326">
        <f>(LOOKUP($B$21,Lists!$A$10:$A$20,Lists!$D$10:$D$20))*$F$14</f>
        <v>831075.87384715513</v>
      </c>
      <c r="G21" s="326">
        <f>(LOOKUP($B$21,Lists!$A$10:$A$20,Lists!$D$10:$D$20))*$G$14</f>
        <v>61499.614664689485</v>
      </c>
      <c r="H21" s="326">
        <f>(LOOKUP($B$21,Lists!$A$10:$A$20,Lists!$D$10:$D$20))*$H$14</f>
        <v>114866.80520273249</v>
      </c>
      <c r="I21" s="326">
        <f>(LOOKUP($B$21,Lists!$A$10:$A$20,Lists!$D$10:$D$20))*$I$14</f>
        <v>175434.17366310404</v>
      </c>
      <c r="J21" s="326">
        <f>(LOOKUP($B$21,Lists!$A$10:$A$20,Lists!$D$10:$D$20))*$J$14</f>
        <v>87717.08683155202</v>
      </c>
      <c r="K21" s="326">
        <f>(LOOKUP($B$21,Lists!$A$10:$A$20,Lists!$D$10:$D$20))*$K$14</f>
        <v>2017492.9971256966</v>
      </c>
    </row>
    <row r="22" spans="2:13" x14ac:dyDescent="0.25">
      <c r="B22" s="500">
        <v>2026</v>
      </c>
      <c r="C22" s="500"/>
      <c r="D22" s="326">
        <f>(LOOKUP($B$22,Lists!$A$10:$A$20,Lists!$D$10:$D$20))*$D$14</f>
        <v>12107.980539812848</v>
      </c>
      <c r="E22" s="326">
        <f>(LOOKUP($B$22,Lists!$A$10:$A$20,Lists!$D$10:$D$20))*$E$14</f>
        <v>764667.44009330892</v>
      </c>
      <c r="F22" s="326">
        <f>(LOOKUP($B$22,Lists!$A$10:$A$20,Lists!$D$10:$D$20))*$F$14</f>
        <v>864318.90880104131</v>
      </c>
      <c r="G22" s="326">
        <f>(LOOKUP($B$22,Lists!$A$10:$A$20,Lists!$D$10:$D$20))*$G$14</f>
        <v>63959.599251277061</v>
      </c>
      <c r="H22" s="326">
        <f>(LOOKUP($B$22,Lists!$A$10:$A$20,Lists!$D$10:$D$20))*$H$14</f>
        <v>119461.47741084178</v>
      </c>
      <c r="I22" s="326">
        <f>(LOOKUP($B$22,Lists!$A$10:$A$20,Lists!$D$10:$D$20))*$I$14</f>
        <v>182451.54060962819</v>
      </c>
      <c r="J22" s="326">
        <f>(LOOKUP($B$22,Lists!$A$10:$A$20,Lists!$D$10:$D$20))*$J$14</f>
        <v>91225.770304814097</v>
      </c>
      <c r="K22" s="326">
        <f>(LOOKUP($B$22,Lists!$A$10:$A$20,Lists!$D$10:$D$20))*$K$14</f>
        <v>2098192.7170107244</v>
      </c>
    </row>
    <row r="23" spans="2:13" x14ac:dyDescent="0.25">
      <c r="B23" s="500">
        <v>2027</v>
      </c>
      <c r="C23" s="500"/>
      <c r="D23" s="326">
        <f>(LOOKUP($B$23,Lists!$A$10:$A$20,Lists!$D$10:$D$20))*$D$14</f>
        <v>12592.299761405362</v>
      </c>
      <c r="E23" s="326">
        <f>(LOOKUP($B$23,Lists!$A$10:$A$20,Lists!$D$10:$D$20))*$E$14</f>
        <v>795254.13769704138</v>
      </c>
      <c r="F23" s="326">
        <f>(LOOKUP($B$23,Lists!$A$10:$A$20,Lists!$D$10:$D$20))*$F$14</f>
        <v>898891.66515308293</v>
      </c>
      <c r="G23" s="326">
        <f>(LOOKUP($B$23,Lists!$A$10:$A$20,Lists!$D$10:$D$20))*$G$14</f>
        <v>66517.983221328148</v>
      </c>
      <c r="H23" s="326">
        <f>(LOOKUP($B$23,Lists!$A$10:$A$20,Lists!$D$10:$D$20))*$H$14</f>
        <v>124239.93650727546</v>
      </c>
      <c r="I23" s="326">
        <f>(LOOKUP($B$23,Lists!$A$10:$A$20,Lists!$D$10:$D$20))*$I$14</f>
        <v>189749.60223401332</v>
      </c>
      <c r="J23" s="326">
        <f>(LOOKUP($B$23,Lists!$A$10:$A$20,Lists!$D$10:$D$20))*$J$14</f>
        <v>94874.80111700666</v>
      </c>
      <c r="K23" s="326">
        <f>(LOOKUP($B$23,Lists!$A$10:$A$20,Lists!$D$10:$D$20))*$K$14</f>
        <v>2182120.4256911534</v>
      </c>
    </row>
    <row r="24" spans="2:13" x14ac:dyDescent="0.25">
      <c r="B24" s="500">
        <v>2028</v>
      </c>
      <c r="C24" s="500"/>
      <c r="D24" s="326">
        <f>(LOOKUP($B$24,Lists!$A$10:$A$20,Lists!$D$10:$D$20))*$D$14</f>
        <v>13121.176351384387</v>
      </c>
      <c r="E24" s="326">
        <f>(LOOKUP($B$24,Lists!$A$10:$A$20,Lists!$D$10:$D$20))*$E$14</f>
        <v>828654.81148031703</v>
      </c>
      <c r="F24" s="326">
        <f>(LOOKUP($B$24,Lists!$A$10:$A$20,Lists!$D$10:$D$20))*$F$14</f>
        <v>936645.11508951243</v>
      </c>
      <c r="G24" s="326">
        <f>(LOOKUP($B$24,Lists!$A$10:$A$20,Lists!$D$10:$D$20))*$G$14</f>
        <v>69311.738516623926</v>
      </c>
      <c r="H24" s="326">
        <f>(LOOKUP($B$24,Lists!$A$10:$A$20,Lists!$D$10:$D$20))*$H$14</f>
        <v>129458.01384058101</v>
      </c>
      <c r="I24" s="326">
        <f>(LOOKUP($B$24,Lists!$A$10:$A$20,Lists!$D$10:$D$20))*$I$14</f>
        <v>197719.08552784187</v>
      </c>
      <c r="J24" s="326">
        <f>(LOOKUP($B$24,Lists!$A$10:$A$20,Lists!$D$10:$D$20))*$J$14</f>
        <v>98859.542763920937</v>
      </c>
      <c r="K24" s="326">
        <f>(LOOKUP($B$24,Lists!$A$10:$A$20,Lists!$D$10:$D$20))*$K$14</f>
        <v>2273769.4835701818</v>
      </c>
      <c r="M24" s="334"/>
    </row>
    <row r="25" spans="2:13" x14ac:dyDescent="0.25">
      <c r="G25" s="333"/>
      <c r="H25" s="333"/>
    </row>
    <row r="28" spans="2:13" x14ac:dyDescent="0.25">
      <c r="E28" s="333"/>
      <c r="K28" s="333"/>
    </row>
    <row r="29" spans="2:13" x14ac:dyDescent="0.25">
      <c r="D29" s="333"/>
      <c r="I29" s="333"/>
      <c r="K29" s="333"/>
    </row>
    <row r="30" spans="2:13" x14ac:dyDescent="0.25">
      <c r="D30" s="333"/>
      <c r="K30" s="333"/>
    </row>
    <row r="31" spans="2:13" x14ac:dyDescent="0.25">
      <c r="D31" s="333"/>
      <c r="K31" s="333"/>
    </row>
    <row r="32" spans="2:13" x14ac:dyDescent="0.25">
      <c r="D32" s="333"/>
      <c r="K32" s="333"/>
    </row>
    <row r="33" spans="4:11" x14ac:dyDescent="0.25">
      <c r="D33" s="333"/>
      <c r="K33" s="333"/>
    </row>
    <row r="34" spans="4:11" x14ac:dyDescent="0.25">
      <c r="D34" s="333"/>
      <c r="K34" s="333"/>
    </row>
    <row r="35" spans="4:11" x14ac:dyDescent="0.25">
      <c r="D35" s="333"/>
    </row>
    <row r="36" spans="4:11" x14ac:dyDescent="0.25">
      <c r="D36" s="333"/>
    </row>
  </sheetData>
  <mergeCells count="29">
    <mergeCell ref="B24:C24"/>
    <mergeCell ref="B19:C19"/>
    <mergeCell ref="B20:C20"/>
    <mergeCell ref="B21:C21"/>
    <mergeCell ref="B22:C22"/>
    <mergeCell ref="B23:C23"/>
    <mergeCell ref="H17:H18"/>
    <mergeCell ref="K17:K18"/>
    <mergeCell ref="B17:C18"/>
    <mergeCell ref="B16:K16"/>
    <mergeCell ref="D17:D18"/>
    <mergeCell ref="E17:E18"/>
    <mergeCell ref="F17:F18"/>
    <mergeCell ref="G17:G18"/>
    <mergeCell ref="I17:I18"/>
    <mergeCell ref="J17:J18"/>
    <mergeCell ref="H12:H13"/>
    <mergeCell ref="G12:G13"/>
    <mergeCell ref="K12:K13"/>
    <mergeCell ref="B10:K11"/>
    <mergeCell ref="B5:C5"/>
    <mergeCell ref="I12:I13"/>
    <mergeCell ref="J12:J13"/>
    <mergeCell ref="B3:C3"/>
    <mergeCell ref="B12:B13"/>
    <mergeCell ref="C12:C13"/>
    <mergeCell ref="E12:E13"/>
    <mergeCell ref="F12:F13"/>
    <mergeCell ref="D12:D13"/>
  </mergeCell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5B55E5-73EB-41C6-8BD2-DC92917FD98E}">
          <x14:formula1>
            <xm:f>Lists!$A$10:$A$20</xm:f>
          </x14:formula1>
          <xm:sqref>B19:B24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A1:BX107"/>
  <sheetViews>
    <sheetView view="pageBreakPreview" topLeftCell="L1" zoomScale="70" zoomScaleNormal="100" zoomScaleSheetLayoutView="70" workbookViewId="0">
      <pane ySplit="3" topLeftCell="A4" activePane="bottomLeft" state="frozen"/>
      <selection activeCell="B1" sqref="B1"/>
      <selection pane="bottomLeft" activeCell="P10" sqref="P10"/>
    </sheetView>
  </sheetViews>
  <sheetFormatPr defaultColWidth="9.140625" defaultRowHeight="15" x14ac:dyDescent="0.25"/>
  <cols>
    <col min="1" max="1" width="15.42578125" style="24" customWidth="1"/>
    <col min="2" max="2" width="15.7109375" style="1" customWidth="1"/>
    <col min="3" max="4" width="13.28515625" style="1" customWidth="1"/>
    <col min="5" max="5" width="35.7109375" style="1" bestFit="1" customWidth="1"/>
    <col min="6" max="7" width="9.140625" style="1"/>
    <col min="8" max="8" width="20.7109375" style="1" customWidth="1"/>
    <col min="9" max="10" width="15.140625" style="1" customWidth="1"/>
    <col min="11" max="11" width="21.28515625" style="59" bestFit="1" customWidth="1"/>
    <col min="12" max="12" width="15.28515625" style="1" bestFit="1" customWidth="1"/>
    <col min="13" max="14" width="9.140625" style="55"/>
    <col min="15" max="15" width="12.140625" style="1" customWidth="1"/>
    <col min="16" max="16" width="15.28515625" style="57" customWidth="1"/>
    <col min="17" max="17" width="9.140625" style="57" customWidth="1"/>
    <col min="18" max="18" width="14.5703125" style="57" bestFit="1" customWidth="1"/>
    <col min="19" max="19" width="14.5703125" style="57" customWidth="1"/>
    <col min="20" max="20" width="9.140625" style="57" customWidth="1"/>
    <col min="21" max="21" width="18.28515625" style="1" bestFit="1" customWidth="1"/>
    <col min="22" max="23" width="18.28515625" style="1" customWidth="1"/>
    <col min="24" max="24" width="21" style="1" bestFit="1" customWidth="1"/>
    <col min="25" max="25" width="14.7109375" style="1" bestFit="1" customWidth="1"/>
    <col min="26" max="27" width="14.7109375" style="299" customWidth="1"/>
    <col min="28" max="28" width="15.28515625" style="1" bestFit="1" customWidth="1"/>
    <col min="29" max="29" width="15.28515625" style="1" customWidth="1"/>
    <col min="30" max="30" width="21.28515625" style="1" bestFit="1" customWidth="1"/>
    <col min="31" max="31" width="15" style="1" bestFit="1" customWidth="1"/>
    <col min="32" max="32" width="15.28515625" style="1" bestFit="1" customWidth="1"/>
    <col min="33" max="33" width="14.85546875" style="1" bestFit="1" customWidth="1"/>
    <col min="34" max="34" width="14.7109375" style="299" bestFit="1" customWidth="1"/>
    <col min="35" max="35" width="14.7109375" style="299" customWidth="1"/>
    <col min="36" max="36" width="9.140625" style="299" customWidth="1"/>
    <col min="37" max="37" width="9.140625" style="307" customWidth="1"/>
    <col min="38" max="38" width="10" style="1" customWidth="1"/>
    <col min="39" max="40" width="11.42578125" style="1" customWidth="1"/>
    <col min="41" max="41" width="10" style="1" customWidth="1"/>
    <col min="42" max="42" width="14.28515625" style="2" customWidth="1"/>
    <col min="43" max="43" width="19.28515625" style="1" customWidth="1"/>
    <col min="44" max="44" width="18.7109375" style="1" customWidth="1"/>
    <col min="45" max="45" width="11.85546875" style="1" customWidth="1"/>
    <col min="46" max="46" width="18" style="1" customWidth="1"/>
    <col min="47" max="47" width="9.42578125" style="1" customWidth="1"/>
    <col min="48" max="52" width="18.140625" style="1" customWidth="1"/>
    <col min="53" max="53" width="27.85546875" style="1" customWidth="1"/>
    <col min="54" max="54" width="20" style="1" bestFit="1" customWidth="1"/>
    <col min="55" max="55" width="21.85546875" style="1" bestFit="1" customWidth="1"/>
    <col min="56" max="56" width="30.85546875" style="1" bestFit="1" customWidth="1"/>
    <col min="57" max="57" width="10.85546875" style="1" customWidth="1"/>
    <col min="58" max="58" width="11.7109375" style="1" customWidth="1"/>
    <col min="59" max="59" width="22.7109375" style="1" bestFit="1" customWidth="1"/>
    <col min="60" max="60" width="15.7109375" style="39" customWidth="1"/>
    <col min="61" max="61" width="24.42578125" style="1" customWidth="1"/>
    <col min="62" max="62" width="28.140625" style="1" customWidth="1"/>
    <col min="63" max="63" width="18.85546875" style="1" customWidth="1"/>
    <col min="64" max="64" width="10" style="1" bestFit="1" customWidth="1"/>
    <col min="65" max="16384" width="9.140625" style="1"/>
  </cols>
  <sheetData>
    <row r="1" spans="1:76" ht="15.75" thickBot="1" x14ac:dyDescent="0.3">
      <c r="G1" s="327"/>
      <c r="H1" s="327"/>
      <c r="I1" s="327"/>
      <c r="J1" s="327"/>
      <c r="K1" s="328"/>
      <c r="L1" s="327"/>
      <c r="M1" s="329" t="s">
        <v>614</v>
      </c>
      <c r="N1" s="329"/>
      <c r="O1" s="327"/>
      <c r="P1" s="330"/>
      <c r="Q1" s="330"/>
      <c r="R1" s="330"/>
      <c r="S1" s="330"/>
      <c r="T1" s="330"/>
      <c r="U1" s="327"/>
      <c r="V1" s="327"/>
      <c r="W1" s="327"/>
      <c r="X1" s="327"/>
      <c r="Y1" s="327"/>
      <c r="Z1" s="331"/>
      <c r="AA1" s="331"/>
      <c r="AB1" s="327"/>
      <c r="AC1" s="327"/>
      <c r="AD1" s="327"/>
      <c r="AE1" s="327"/>
      <c r="AF1" s="327"/>
      <c r="AG1" s="327"/>
      <c r="AH1" s="331"/>
      <c r="AI1" s="331"/>
      <c r="AJ1" s="331"/>
      <c r="AK1" s="332"/>
    </row>
    <row r="2" spans="1:76" ht="15.75" thickBot="1" x14ac:dyDescent="0.3">
      <c r="A2" s="54"/>
      <c r="K2" s="315" t="s">
        <v>587</v>
      </c>
      <c r="L2" s="316"/>
      <c r="M2" s="304" t="s">
        <v>420</v>
      </c>
      <c r="N2" s="305"/>
      <c r="O2" s="305"/>
      <c r="P2" s="306"/>
      <c r="Q2" s="304" t="s">
        <v>555</v>
      </c>
      <c r="R2" s="305"/>
      <c r="S2" s="305"/>
      <c r="T2" s="306"/>
      <c r="U2" s="304" t="s">
        <v>419</v>
      </c>
      <c r="V2" s="305"/>
      <c r="W2" s="305"/>
      <c r="X2" s="305"/>
      <c r="Y2" s="305"/>
      <c r="Z2" s="305"/>
      <c r="AA2" s="306"/>
      <c r="AB2" s="304" t="s">
        <v>595</v>
      </c>
      <c r="AC2" s="305"/>
      <c r="AD2" s="306" t="s">
        <v>657</v>
      </c>
      <c r="AE2" s="304" t="s">
        <v>415</v>
      </c>
      <c r="AF2" s="305"/>
      <c r="AG2" s="305"/>
      <c r="AH2" s="305"/>
      <c r="AI2" s="306"/>
    </row>
    <row r="3" spans="1:76" s="263" customFormat="1" ht="75" x14ac:dyDescent="0.25">
      <c r="A3" s="250" t="s">
        <v>361</v>
      </c>
      <c r="B3" s="251" t="s">
        <v>333</v>
      </c>
      <c r="C3" s="252" t="s">
        <v>401</v>
      </c>
      <c r="D3" s="252" t="s">
        <v>654</v>
      </c>
      <c r="E3" s="466" t="s">
        <v>649</v>
      </c>
      <c r="F3" s="252" t="s">
        <v>365</v>
      </c>
      <c r="G3" s="255" t="s">
        <v>574</v>
      </c>
      <c r="H3" s="252" t="s">
        <v>414</v>
      </c>
      <c r="I3" s="252" t="s">
        <v>412</v>
      </c>
      <c r="J3" s="255" t="s">
        <v>583</v>
      </c>
      <c r="K3" s="253" t="s">
        <v>413</v>
      </c>
      <c r="L3" s="255" t="s">
        <v>573</v>
      </c>
      <c r="M3" s="254" t="s">
        <v>625</v>
      </c>
      <c r="N3" s="254" t="s">
        <v>625</v>
      </c>
      <c r="O3" s="255" t="s">
        <v>421</v>
      </c>
      <c r="P3" s="256" t="s">
        <v>422</v>
      </c>
      <c r="Q3" s="256" t="s">
        <v>568</v>
      </c>
      <c r="R3" s="256" t="s">
        <v>570</v>
      </c>
      <c r="S3" s="338" t="s">
        <v>631</v>
      </c>
      <c r="T3" s="256" t="s">
        <v>580</v>
      </c>
      <c r="U3" s="252" t="s">
        <v>637</v>
      </c>
      <c r="V3" s="252" t="s">
        <v>641</v>
      </c>
      <c r="W3" s="252" t="s">
        <v>638</v>
      </c>
      <c r="X3" s="252" t="s">
        <v>639</v>
      </c>
      <c r="Y3" s="252" t="s">
        <v>640</v>
      </c>
      <c r="Z3" s="300" t="s">
        <v>588</v>
      </c>
      <c r="AA3" s="300" t="s">
        <v>600</v>
      </c>
      <c r="AB3" s="255" t="s">
        <v>590</v>
      </c>
      <c r="AC3" s="252" t="s">
        <v>591</v>
      </c>
      <c r="AD3" s="252" t="s">
        <v>656</v>
      </c>
      <c r="AE3" s="252" t="s">
        <v>416</v>
      </c>
      <c r="AF3" s="252" t="s">
        <v>417</v>
      </c>
      <c r="AG3" s="252" t="s">
        <v>418</v>
      </c>
      <c r="AH3" s="300" t="s">
        <v>589</v>
      </c>
      <c r="AI3" s="300" t="s">
        <v>601</v>
      </c>
      <c r="AJ3" s="308" t="s">
        <v>592</v>
      </c>
      <c r="AK3" s="309" t="s">
        <v>593</v>
      </c>
      <c r="AL3" s="251" t="s">
        <v>332</v>
      </c>
      <c r="AM3" s="258" t="s">
        <v>331</v>
      </c>
      <c r="AN3" s="257" t="s">
        <v>403</v>
      </c>
      <c r="AO3" s="257" t="s">
        <v>399</v>
      </c>
      <c r="AP3" s="259" t="s">
        <v>330</v>
      </c>
      <c r="AQ3" s="258" t="s">
        <v>0</v>
      </c>
      <c r="AR3" s="258" t="s">
        <v>1</v>
      </c>
      <c r="AS3" s="257" t="s">
        <v>329</v>
      </c>
      <c r="AT3" s="257" t="s">
        <v>327</v>
      </c>
      <c r="AU3" s="257" t="s">
        <v>2</v>
      </c>
      <c r="AV3" s="257" t="s">
        <v>334</v>
      </c>
      <c r="AW3" s="257" t="s">
        <v>336</v>
      </c>
      <c r="AX3" s="257" t="s">
        <v>335</v>
      </c>
      <c r="AY3" s="257" t="s">
        <v>359</v>
      </c>
      <c r="AZ3" s="257" t="s">
        <v>360</v>
      </c>
      <c r="BA3" s="258" t="s">
        <v>411</v>
      </c>
      <c r="BB3" s="258" t="s">
        <v>410</v>
      </c>
      <c r="BC3" s="258" t="s">
        <v>409</v>
      </c>
      <c r="BD3" s="258" t="s">
        <v>328</v>
      </c>
      <c r="BE3" s="258" t="s">
        <v>407</v>
      </c>
      <c r="BF3" s="258" t="s">
        <v>408</v>
      </c>
      <c r="BG3" s="258" t="s">
        <v>3</v>
      </c>
      <c r="BH3" s="257" t="s">
        <v>404</v>
      </c>
      <c r="BI3" s="258" t="s">
        <v>405</v>
      </c>
      <c r="BJ3" s="258" t="s">
        <v>406</v>
      </c>
      <c r="BK3" s="260" t="s">
        <v>4</v>
      </c>
      <c r="BL3" s="261" t="s">
        <v>401</v>
      </c>
      <c r="BM3" s="261" t="s">
        <v>365</v>
      </c>
      <c r="BN3" s="261" t="s">
        <v>402</v>
      </c>
      <c r="BO3" s="261" t="s">
        <v>366</v>
      </c>
      <c r="BP3" s="261" t="s">
        <v>367</v>
      </c>
      <c r="BQ3" s="261" t="s">
        <v>368</v>
      </c>
      <c r="BR3" s="261" t="s">
        <v>369</v>
      </c>
      <c r="BS3" s="262"/>
    </row>
    <row r="4" spans="1:76" s="22" customFormat="1" ht="30" x14ac:dyDescent="0.25">
      <c r="A4" s="45"/>
      <c r="B4" s="40" t="s">
        <v>123</v>
      </c>
      <c r="C4" t="s">
        <v>370</v>
      </c>
      <c r="D4" t="str">
        <f t="shared" ref="D4:D35" si="0">B4&amp;"-"&amp;C4</f>
        <v>1-Private</v>
      </c>
      <c r="E4" t="s">
        <v>650</v>
      </c>
      <c r="F4">
        <v>1</v>
      </c>
      <c r="G4">
        <f t="shared" ref="G4:G35" si="1">COUNTIF(F:F,F4)</f>
        <v>16</v>
      </c>
      <c r="H4" s="248" t="s">
        <v>423</v>
      </c>
      <c r="I4" s="248" t="s">
        <v>427</v>
      </c>
      <c r="J4" s="248" t="s">
        <v>586</v>
      </c>
      <c r="K4" s="61">
        <f t="shared" ref="K4:K35" si="2">AJ4*0.015</f>
        <v>0.66446886770189495</v>
      </c>
      <c r="L4" s="60">
        <f>IF(I4="Mechanical",(('Mob-Mech'!$E$47+'Demob-Mech'!$E$42)/G4),(('Mob-Hyd'!$E$47+'Demob-Hyd'!$E$42)/G4))</f>
        <v>42161.870759819998</v>
      </c>
      <c r="M4" s="56">
        <f t="shared" ref="M4:M35" si="3">IF(AX4&lt;0,AX4,(AVERAGE(AX$4:AX$106)))</f>
        <v>-4.1700000000000008</v>
      </c>
      <c r="N4" s="56">
        <f t="shared" ref="N4:N35" si="4">M4*-1</f>
        <v>4.1700000000000008</v>
      </c>
      <c r="O4" t="str">
        <f t="shared" ref="O4:O35" si="5">IF(M4=AX4,"Actual","Averaged")</f>
        <v>Actual</v>
      </c>
      <c r="P4" s="58">
        <f t="shared" ref="P4:P35" si="6">IF(O4="Actual",((ABS(((AP4+(AP4+(6*N4)))/2)*AX4*AM4))/27),((ABS(((AP4+(AP4+(6*N4)))/2)*N4*AM4))/27))</f>
        <v>11563.24937777778</v>
      </c>
      <c r="Q4" s="249">
        <v>1.1000000000000001</v>
      </c>
      <c r="R4" s="58">
        <f t="shared" ref="R4:R35" si="7">P4*Q4</f>
        <v>12719.574315555559</v>
      </c>
      <c r="S4" s="58">
        <f>R4*'PrismQC Vols'!$G$14</f>
        <v>858.76326844199912</v>
      </c>
      <c r="T4" s="282">
        <f>IF(I4="Mechanical",S4/Prod!$D$21,S4/Prod!$D$11)</f>
        <v>1.308591647149713</v>
      </c>
      <c r="U4" s="61">
        <f>IF(I4="Hydraulic",(T4*('DR-Hyd'!$O$13+'DR-Hyd'!$O$18+'DR-Hyd'!$O$24)/S4),(T4*('DR-Mech'!$O$13+'DR-Mech'!$O$18+'DR-Mech'!$O$24)/S4))</f>
        <v>15.253427281310477</v>
      </c>
      <c r="V4" s="61">
        <f>IF(I4="Hydraulic",(T4*'DR-Hyd'!$O$34)/S4,(T4*'DR-Mech'!$O$34)/S4)+5</f>
        <v>19.221610773333335</v>
      </c>
      <c r="W4" s="61">
        <f>IF(I4="Hydraulic",(Overhead!$F$39/S4)+((Overhead!$D$39/Table!G4)/S4),(Overhead!$K$39/S4)+((Overhead!I39/Table!G4)/S4))</f>
        <v>5.7707017158028027</v>
      </c>
      <c r="X4" s="61">
        <f t="shared" ref="X4:X35" si="8">IF(J4="pipeline",2,1)</f>
        <v>1</v>
      </c>
      <c r="Y4" s="61">
        <f>IF(H4="Upland",0,(IF(I4="Mechanical",(T4*'DR-Mech'!$O$24+'DR-Mech'!$O$34)/S4,(T4*'DR-Hyd'!$O$24+'DR-Hyd'!$O$34)/S4)))</f>
        <v>0</v>
      </c>
      <c r="Z4" s="301">
        <f t="shared" ref="Z4:Z35" si="9">SUM(U4:Y4)</f>
        <v>41.245739770446612</v>
      </c>
      <c r="AA4" s="301">
        <f t="shared" ref="AA4:AA35" si="10">Z4*1.15</f>
        <v>47.432600736013597</v>
      </c>
      <c r="AB4" s="302" t="str">
        <f t="shared" ref="AB4:AB35" si="11">BG4</f>
        <v>High</v>
      </c>
      <c r="AC4" s="303">
        <f t="shared" ref="AC4:AC35" si="12">IF(AB4="high",(AP4*AM4*0.05)/43560,(AP4*AM4*0.025)/43560)</f>
        <v>5.7277318640955005E-2</v>
      </c>
      <c r="AD4" s="404">
        <f t="shared" ref="AD4:AD35" si="13">AC4*(275000/2.47105)</f>
        <v>6374.3196723104056</v>
      </c>
      <c r="AE4" s="61">
        <f t="shared" ref="AE4:AE35" si="14">Z4*0.02</f>
        <v>0.8249147954089322</v>
      </c>
      <c r="AF4" s="61">
        <f t="shared" ref="AF4:AF35" si="15">Z4*0.024</f>
        <v>0.98989775449071871</v>
      </c>
      <c r="AG4" s="61">
        <f t="shared" ref="AG4:AG35" si="16">Z4*0.03</f>
        <v>1.2373721931133983</v>
      </c>
      <c r="AH4" s="301">
        <f t="shared" ref="AH4:AH35" si="17">SUM(AE4:AG4)</f>
        <v>3.0521847430130493</v>
      </c>
      <c r="AI4" s="301">
        <f t="shared" ref="AI4:AI35" si="18">AH4*1.15</f>
        <v>3.5100124544650066</v>
      </c>
      <c r="AJ4" s="310">
        <f t="shared" ref="AJ4:AJ35" si="19">Z4+AH4</f>
        <v>44.297924513459662</v>
      </c>
      <c r="AK4" s="311">
        <f t="shared" ref="AK4:AK35" si="20">AJ4*1.15</f>
        <v>50.94261319047861</v>
      </c>
      <c r="AL4" s="40" t="s">
        <v>123</v>
      </c>
      <c r="AM4" s="17">
        <v>1996</v>
      </c>
      <c r="AN4" s="17"/>
      <c r="AO4" s="19">
        <v>50</v>
      </c>
      <c r="AP4" s="19">
        <f t="shared" ref="AP4:AP9" si="21">0.5*AO4</f>
        <v>25</v>
      </c>
      <c r="AQ4" s="20" t="s">
        <v>276</v>
      </c>
      <c r="AR4" s="20" t="s">
        <v>277</v>
      </c>
      <c r="AS4" s="16" t="s">
        <v>8</v>
      </c>
      <c r="AT4" s="19">
        <v>-4.4000000000000004</v>
      </c>
      <c r="AU4" s="16"/>
      <c r="AV4" s="19"/>
      <c r="AW4" s="19">
        <f>AT4</f>
        <v>-4.4000000000000004</v>
      </c>
      <c r="AX4" s="19">
        <f>AW4+(0.57-0.34)</f>
        <v>-4.1700000000000008</v>
      </c>
      <c r="AY4" s="19"/>
      <c r="AZ4" s="19"/>
      <c r="BA4" s="20" t="s">
        <v>278</v>
      </c>
      <c r="BB4" s="20" t="s">
        <v>279</v>
      </c>
      <c r="BC4" s="20" t="s">
        <v>26</v>
      </c>
      <c r="BD4" s="20" t="s">
        <v>280</v>
      </c>
      <c r="BE4" s="20" t="s">
        <v>230</v>
      </c>
      <c r="BF4" s="16"/>
      <c r="BG4" s="16" t="s">
        <v>28</v>
      </c>
      <c r="BH4" s="20"/>
      <c r="BI4" s="16"/>
      <c r="BJ4" s="16"/>
      <c r="BK4" s="21" t="s">
        <v>14</v>
      </c>
      <c r="BL4" t="s">
        <v>370</v>
      </c>
      <c r="BM4">
        <v>1</v>
      </c>
      <c r="BN4">
        <v>1</v>
      </c>
      <c r="BO4" t="s">
        <v>371</v>
      </c>
      <c r="BP4" t="s">
        <v>372</v>
      </c>
      <c r="BQ4" t="s">
        <v>373</v>
      </c>
      <c r="BR4" t="s">
        <v>219</v>
      </c>
      <c r="BS4"/>
    </row>
    <row r="5" spans="1:76" s="38" customFormat="1" ht="27" customHeight="1" x14ac:dyDescent="0.25">
      <c r="A5" s="24"/>
      <c r="B5" s="42" t="s">
        <v>307</v>
      </c>
      <c r="C5" t="s">
        <v>370</v>
      </c>
      <c r="D5" t="str">
        <f t="shared" si="0"/>
        <v>10-Private</v>
      </c>
      <c r="E5" t="s">
        <v>650</v>
      </c>
      <c r="F5">
        <v>1</v>
      </c>
      <c r="G5">
        <f t="shared" si="1"/>
        <v>16</v>
      </c>
      <c r="H5" s="248" t="s">
        <v>423</v>
      </c>
      <c r="I5" s="248" t="s">
        <v>427</v>
      </c>
      <c r="J5" s="248" t="s">
        <v>586</v>
      </c>
      <c r="K5" s="61">
        <f t="shared" si="2"/>
        <v>0.62655028788291511</v>
      </c>
      <c r="L5" s="60">
        <f>IF(I5="Mechanical",(('Mob-Mech'!$E$47+'Demob-Mech'!$E$42)/G5),(('Mob-Hyd'!$E$47+'Demob-Hyd'!$E$42)/G5))</f>
        <v>42161.870759819998</v>
      </c>
      <c r="M5" s="56">
        <f t="shared" si="3"/>
        <v>-4.5985714285714296</v>
      </c>
      <c r="N5" s="56">
        <f t="shared" si="4"/>
        <v>4.5985714285714296</v>
      </c>
      <c r="O5" t="str">
        <f t="shared" si="5"/>
        <v>Averaged</v>
      </c>
      <c r="P5" s="58">
        <f t="shared" si="6"/>
        <v>6721.3904922902511</v>
      </c>
      <c r="Q5" s="249">
        <v>1.1000000000000001</v>
      </c>
      <c r="R5" s="58">
        <f t="shared" si="7"/>
        <v>7393.5295415192768</v>
      </c>
      <c r="S5" s="58">
        <f>R5*'PrismQC Vols'!$G$14</f>
        <v>499.17484947846293</v>
      </c>
      <c r="T5" s="282">
        <f>IF(I5="Mechanical",S5/Prod!$D$21,S5/Prod!$D$11)</f>
        <v>0.76064738968146728</v>
      </c>
      <c r="U5" s="61">
        <f>IF(I5="Hydraulic",(T5*('DR-Hyd'!$O$13+'DR-Hyd'!$O$18+'DR-Hyd'!$O$24)/S5),(T5*('DR-Mech'!$O$13+'DR-Mech'!$O$18+'DR-Mech'!$O$24)/S5))</f>
        <v>15.253427281310476</v>
      </c>
      <c r="V5" s="61">
        <f>IF(I5="Hydraulic",(T5*'DR-Hyd'!$O$34)/S5,(T5*'DR-Mech'!$O$34)/S5)+5</f>
        <v>19.221610773333335</v>
      </c>
      <c r="W5" s="61">
        <f>IF(I5="Hydraulic",(Overhead!$F$39/S5)+((Overhead!$D$39/Table!G5)/S5),(Overhead!$K$39/S5)+((Overhead!I40/Table!G5)/S5))</f>
        <v>3.4169723663937486</v>
      </c>
      <c r="X5" s="61">
        <f t="shared" si="8"/>
        <v>1</v>
      </c>
      <c r="Y5" s="61">
        <f>IF(H5="Upland",0,(IF(I5="Mechanical",(T5*'DR-Mech'!$O$24+'DR-Mech'!$O$34)/S5,(T5*'DR-Hyd'!$O$24+'DR-Hyd'!$O$34)/S5)))</f>
        <v>0</v>
      </c>
      <c r="Z5" s="301">
        <f t="shared" si="9"/>
        <v>38.892010421037561</v>
      </c>
      <c r="AA5" s="301">
        <f t="shared" si="10"/>
        <v>44.725811984193193</v>
      </c>
      <c r="AB5" s="302" t="str">
        <f t="shared" si="11"/>
        <v>Moderate</v>
      </c>
      <c r="AC5" s="303">
        <f t="shared" si="12"/>
        <v>1.2665002295684114E-2</v>
      </c>
      <c r="AD5" s="404">
        <f t="shared" si="13"/>
        <v>1409.471937562223</v>
      </c>
      <c r="AE5" s="61">
        <f t="shared" si="14"/>
        <v>0.77784020842075119</v>
      </c>
      <c r="AF5" s="61">
        <f t="shared" si="15"/>
        <v>0.93340825010490147</v>
      </c>
      <c r="AG5" s="61">
        <f t="shared" si="16"/>
        <v>1.1667603126311268</v>
      </c>
      <c r="AH5" s="301">
        <f t="shared" si="17"/>
        <v>2.8780087711567797</v>
      </c>
      <c r="AI5" s="301">
        <f t="shared" si="18"/>
        <v>3.3097100868302962</v>
      </c>
      <c r="AJ5" s="310">
        <f t="shared" si="19"/>
        <v>41.77001919219434</v>
      </c>
      <c r="AK5" s="311">
        <f t="shared" si="20"/>
        <v>48.035522071023486</v>
      </c>
      <c r="AL5" s="42" t="s">
        <v>307</v>
      </c>
      <c r="AM5" s="14">
        <v>1261</v>
      </c>
      <c r="AN5" s="14"/>
      <c r="AO5" s="4">
        <v>35</v>
      </c>
      <c r="AP5" s="5">
        <f t="shared" si="21"/>
        <v>17.5</v>
      </c>
      <c r="AQ5" s="6" t="s">
        <v>305</v>
      </c>
      <c r="AR5" s="6" t="s">
        <v>308</v>
      </c>
      <c r="AS5" s="3" t="s">
        <v>8</v>
      </c>
      <c r="AT5" s="4">
        <v>-5.4</v>
      </c>
      <c r="AU5" s="3"/>
      <c r="AV5" s="4"/>
      <c r="AW5" s="4"/>
      <c r="AX5" s="4"/>
      <c r="AY5" s="4"/>
      <c r="AZ5" s="4"/>
      <c r="BA5" s="6"/>
      <c r="BB5" s="6"/>
      <c r="BC5" s="6" t="s">
        <v>10</v>
      </c>
      <c r="BD5" s="6" t="s">
        <v>11</v>
      </c>
      <c r="BE5" s="6" t="s">
        <v>27</v>
      </c>
      <c r="BF5" s="3"/>
      <c r="BG5" s="3" t="s">
        <v>13</v>
      </c>
      <c r="BH5" s="6"/>
      <c r="BI5" s="3"/>
      <c r="BJ5" s="3"/>
      <c r="BK5" s="7" t="s">
        <v>14</v>
      </c>
      <c r="BL5" t="s">
        <v>370</v>
      </c>
      <c r="BM5">
        <v>1</v>
      </c>
      <c r="BN5">
        <v>1</v>
      </c>
      <c r="BO5" t="s">
        <v>91</v>
      </c>
      <c r="BP5" t="s">
        <v>372</v>
      </c>
      <c r="BQ5" t="s">
        <v>370</v>
      </c>
      <c r="BR5" t="s">
        <v>219</v>
      </c>
      <c r="BS5"/>
    </row>
    <row r="6" spans="1:76" ht="45" x14ac:dyDescent="0.25">
      <c r="B6" s="42" t="s">
        <v>254</v>
      </c>
      <c r="C6" t="s">
        <v>378</v>
      </c>
      <c r="D6" t="str">
        <f t="shared" si="0"/>
        <v>1P-Access</v>
      </c>
      <c r="E6" t="s">
        <v>651</v>
      </c>
      <c r="F6">
        <v>1</v>
      </c>
      <c r="G6">
        <f t="shared" si="1"/>
        <v>16</v>
      </c>
      <c r="H6" s="248" t="s">
        <v>423</v>
      </c>
      <c r="I6" s="248" t="s">
        <v>427</v>
      </c>
      <c r="J6" s="248" t="s">
        <v>586</v>
      </c>
      <c r="K6" s="61">
        <f t="shared" si="2"/>
        <v>0.59613941944219628</v>
      </c>
      <c r="L6" s="60">
        <f>IF(I6="Mechanical",(('Mob-Mech'!$E$47+'Demob-Mech'!$E$42)/G6),(('Mob-Hyd'!$E$47+'Demob-Hyd'!$E$42)/G6))</f>
        <v>42161.870759819998</v>
      </c>
      <c r="M6" s="56">
        <f t="shared" si="3"/>
        <v>-4.5985714285714296</v>
      </c>
      <c r="N6" s="56">
        <f t="shared" si="4"/>
        <v>4.5985714285714296</v>
      </c>
      <c r="O6" t="str">
        <f t="shared" si="5"/>
        <v>Averaged</v>
      </c>
      <c r="P6" s="58">
        <f t="shared" si="6"/>
        <v>15018.139389795924</v>
      </c>
      <c r="Q6" s="249">
        <v>1.1000000000000001</v>
      </c>
      <c r="R6" s="58">
        <f t="shared" si="7"/>
        <v>16519.953328775518</v>
      </c>
      <c r="S6" s="58">
        <f>R6*'PrismQC Vols'!$G$14</f>
        <v>1115.3462186056584</v>
      </c>
      <c r="T6" s="282">
        <f>IF(I6="Mechanical",S6/Prod!$D$21,S6/Prod!$D$11)</f>
        <v>1.6995751902562413</v>
      </c>
      <c r="U6" s="61">
        <f>IF(I6="Hydraulic",(T6*('DR-Hyd'!$O$13+'DR-Hyd'!$O$18+'DR-Hyd'!$O$24)/S6),(T6*('DR-Mech'!$O$13+'DR-Mech'!$O$18+'DR-Mech'!$O$24)/S6))</f>
        <v>15.253427281310477</v>
      </c>
      <c r="V6" s="61">
        <f>IF(I6="Hydraulic",(T6*'DR-Hyd'!$O$34)/S6,(T6*'DR-Mech'!$O$34)/S6)+5</f>
        <v>19.221610773333332</v>
      </c>
      <c r="W6" s="61">
        <f>IF(I6="Hydraulic",(Overhead!$F$39/S6)+((Overhead!$D$39/Table!G6)/S6),(Overhead!$K$39/S6)+((Overhead!I41/Table!G6)/S6))</f>
        <v>1.5292710354987289</v>
      </c>
      <c r="X6" s="61">
        <f t="shared" si="8"/>
        <v>1</v>
      </c>
      <c r="Y6" s="61">
        <f>IF(H6="Upland",0,(IF(I6="Mechanical",(T6*'DR-Mech'!$O$24+'DR-Mech'!$O$34)/S6,(T6*'DR-Hyd'!$O$24+'DR-Hyd'!$O$34)/S6)))</f>
        <v>0</v>
      </c>
      <c r="Z6" s="301">
        <f t="shared" si="9"/>
        <v>37.004309090142542</v>
      </c>
      <c r="AA6" s="301">
        <f t="shared" si="10"/>
        <v>42.554955453663922</v>
      </c>
      <c r="AB6" s="302" t="str">
        <f t="shared" si="11"/>
        <v>High</v>
      </c>
      <c r="AC6" s="303">
        <f t="shared" si="12"/>
        <v>7.3992768595041322E-2</v>
      </c>
      <c r="AD6" s="404">
        <f t="shared" si="13"/>
        <v>8234.5607590442778</v>
      </c>
      <c r="AE6" s="61">
        <f t="shared" si="14"/>
        <v>0.7400861818028508</v>
      </c>
      <c r="AF6" s="61">
        <f t="shared" si="15"/>
        <v>0.88810341816342098</v>
      </c>
      <c r="AG6" s="61">
        <f t="shared" si="16"/>
        <v>1.1101292727042762</v>
      </c>
      <c r="AH6" s="301">
        <f t="shared" si="17"/>
        <v>2.7383188726705479</v>
      </c>
      <c r="AI6" s="301">
        <f t="shared" si="18"/>
        <v>3.1490667035711297</v>
      </c>
      <c r="AJ6" s="310">
        <f t="shared" si="19"/>
        <v>39.742627962813089</v>
      </c>
      <c r="AK6" s="311">
        <f t="shared" si="20"/>
        <v>45.704022157235052</v>
      </c>
      <c r="AL6" s="42"/>
      <c r="AM6" s="14">
        <v>1719</v>
      </c>
      <c r="AN6" s="14"/>
      <c r="AO6" s="8">
        <v>75</v>
      </c>
      <c r="AP6" s="5">
        <f t="shared" si="21"/>
        <v>37.5</v>
      </c>
      <c r="AQ6" s="6"/>
      <c r="AR6" s="6"/>
      <c r="AS6" s="3"/>
      <c r="AT6" s="4"/>
      <c r="AU6" s="3"/>
      <c r="AV6" s="4"/>
      <c r="AW6" s="4"/>
      <c r="AX6" s="4"/>
      <c r="AY6" s="4"/>
      <c r="AZ6" s="4"/>
      <c r="BA6" s="6"/>
      <c r="BB6" s="6"/>
      <c r="BC6" s="6" t="s">
        <v>255</v>
      </c>
      <c r="BD6" s="6" t="s">
        <v>256</v>
      </c>
      <c r="BE6" s="6" t="s">
        <v>257</v>
      </c>
      <c r="BF6" s="3"/>
      <c r="BG6" s="3" t="s">
        <v>28</v>
      </c>
      <c r="BH6" s="6"/>
      <c r="BI6" s="3"/>
      <c r="BJ6" s="3"/>
      <c r="BK6" s="7" t="s">
        <v>14</v>
      </c>
      <c r="BL6" t="s">
        <v>378</v>
      </c>
      <c r="BM6">
        <v>1</v>
      </c>
      <c r="BN6">
        <v>1</v>
      </c>
      <c r="BO6" t="s">
        <v>374</v>
      </c>
      <c r="BP6" t="s">
        <v>375</v>
      </c>
      <c r="BQ6" t="s">
        <v>373</v>
      </c>
      <c r="BR6" t="s">
        <v>383</v>
      </c>
      <c r="BS6"/>
    </row>
    <row r="7" spans="1:76" s="27" customFormat="1" ht="30" x14ac:dyDescent="0.25">
      <c r="A7" s="45"/>
      <c r="B7" s="40" t="s">
        <v>132</v>
      </c>
      <c r="C7" t="s">
        <v>370</v>
      </c>
      <c r="D7" t="str">
        <f t="shared" si="0"/>
        <v>2-Private</v>
      </c>
      <c r="E7" t="s">
        <v>650</v>
      </c>
      <c r="F7">
        <v>1</v>
      </c>
      <c r="G7">
        <f t="shared" si="1"/>
        <v>16</v>
      </c>
      <c r="H7" s="248" t="s">
        <v>423</v>
      </c>
      <c r="I7" s="248" t="s">
        <v>427</v>
      </c>
      <c r="J7" s="248" t="s">
        <v>586</v>
      </c>
      <c r="K7" s="61">
        <f t="shared" si="2"/>
        <v>0.57653947760018809</v>
      </c>
      <c r="L7" s="60">
        <f>IF(I7="Mechanical",(('Mob-Mech'!$E$47+'Demob-Mech'!$E$42)/G7),(('Mob-Hyd'!$E$47+'Demob-Hyd'!$E$42)/G7))</f>
        <v>42161.870759819998</v>
      </c>
      <c r="M7" s="56">
        <f t="shared" si="3"/>
        <v>-5.1700000000000008</v>
      </c>
      <c r="N7" s="56">
        <f t="shared" si="4"/>
        <v>5.1700000000000008</v>
      </c>
      <c r="O7" t="str">
        <f t="shared" si="5"/>
        <v>Actual</v>
      </c>
      <c r="P7" s="58">
        <f t="shared" si="6"/>
        <v>73461.098700000002</v>
      </c>
      <c r="Q7" s="249">
        <v>1.1000000000000001</v>
      </c>
      <c r="R7" s="58">
        <f t="shared" si="7"/>
        <v>80807.208570000003</v>
      </c>
      <c r="S7" s="58">
        <f>R7*'PrismQC Vols'!$G$14</f>
        <v>5455.706364353794</v>
      </c>
      <c r="T7" s="282">
        <f>IF(I7="Mechanical",S7/Prod!$D$21,S7/Prod!$D$11)</f>
        <v>8.3134573171105437</v>
      </c>
      <c r="U7" s="61">
        <f>IF(I7="Hydraulic",(T7*('DR-Hyd'!$O$13+'DR-Hyd'!$O$18+'DR-Hyd'!$O$24)/S7),(T7*('DR-Mech'!$O$13+'DR-Mech'!$O$18+'DR-Mech'!$O$24)/S7))</f>
        <v>15.253427281310479</v>
      </c>
      <c r="V7" s="61">
        <f>IF(I7="Hydraulic",(T7*'DR-Hyd'!$O$34)/S7,(T7*'DR-Mech'!$O$34)/S7)+5</f>
        <v>19.221610773333332</v>
      </c>
      <c r="W7" s="61">
        <f>IF(I7="Hydraulic",(Overhead!$F$39/S7)+((Overhead!$D$39/Table!G7)/S7),(Overhead!$K$39/S7)+((Overhead!I42/Table!G7)/S7))</f>
        <v>0.31263901551063333</v>
      </c>
      <c r="X7" s="61">
        <f t="shared" si="8"/>
        <v>1</v>
      </c>
      <c r="Y7" s="61">
        <f>IF(H7="Upland",0,(IF(I7="Mechanical",(T7*'DR-Mech'!$O$24+'DR-Mech'!$O$34)/S7,(T7*'DR-Hyd'!$O$24+'DR-Hyd'!$O$34)/S7)))</f>
        <v>0</v>
      </c>
      <c r="Z7" s="301">
        <f t="shared" si="9"/>
        <v>35.787677070154444</v>
      </c>
      <c r="AA7" s="301">
        <f t="shared" si="10"/>
        <v>41.155828630677611</v>
      </c>
      <c r="AB7" s="302" t="str">
        <f t="shared" si="11"/>
        <v>High</v>
      </c>
      <c r="AC7" s="303">
        <f t="shared" si="12"/>
        <v>0.38700929752066116</v>
      </c>
      <c r="AD7" s="404">
        <f t="shared" si="13"/>
        <v>43069.77067165044</v>
      </c>
      <c r="AE7" s="61">
        <f t="shared" si="14"/>
        <v>0.71575354140308889</v>
      </c>
      <c r="AF7" s="61">
        <f t="shared" si="15"/>
        <v>0.85890424968370671</v>
      </c>
      <c r="AG7" s="61">
        <f t="shared" si="16"/>
        <v>1.0736303121046333</v>
      </c>
      <c r="AH7" s="301">
        <f t="shared" si="17"/>
        <v>2.6482881031914287</v>
      </c>
      <c r="AI7" s="301">
        <f t="shared" si="18"/>
        <v>3.0455313186701427</v>
      </c>
      <c r="AJ7" s="310">
        <f t="shared" si="19"/>
        <v>38.43596517334587</v>
      </c>
      <c r="AK7" s="311">
        <f t="shared" si="20"/>
        <v>44.201359949347747</v>
      </c>
      <c r="AL7" s="40" t="s">
        <v>132</v>
      </c>
      <c r="AM7" s="17">
        <v>2997</v>
      </c>
      <c r="AN7" s="17"/>
      <c r="AO7" s="18">
        <v>225</v>
      </c>
      <c r="AP7" s="19">
        <f t="shared" si="21"/>
        <v>112.5</v>
      </c>
      <c r="AQ7" s="20" t="s">
        <v>281</v>
      </c>
      <c r="AR7" s="20" t="s">
        <v>282</v>
      </c>
      <c r="AS7" s="16" t="s">
        <v>51</v>
      </c>
      <c r="AT7" s="19"/>
      <c r="AU7" s="16" t="s">
        <v>8</v>
      </c>
      <c r="AV7" s="19">
        <v>-5.4</v>
      </c>
      <c r="AW7" s="19">
        <f>AV7</f>
        <v>-5.4</v>
      </c>
      <c r="AX7" s="19">
        <f>AW7+(0.57-0.34)</f>
        <v>-5.1700000000000008</v>
      </c>
      <c r="AY7" s="19"/>
      <c r="AZ7" s="19"/>
      <c r="BA7" s="20" t="s">
        <v>283</v>
      </c>
      <c r="BB7" s="20" t="s">
        <v>284</v>
      </c>
      <c r="BC7" s="20" t="s">
        <v>10</v>
      </c>
      <c r="BD7" s="20" t="s">
        <v>285</v>
      </c>
      <c r="BE7" s="20" t="s">
        <v>269</v>
      </c>
      <c r="BF7" s="16" t="s">
        <v>134</v>
      </c>
      <c r="BG7" s="16" t="s">
        <v>28</v>
      </c>
      <c r="BH7" s="20"/>
      <c r="BI7" s="16"/>
      <c r="BJ7" s="16"/>
      <c r="BK7" s="21" t="s">
        <v>14</v>
      </c>
      <c r="BL7" t="s">
        <v>370</v>
      </c>
      <c r="BM7">
        <v>1</v>
      </c>
      <c r="BN7">
        <v>1</v>
      </c>
      <c r="BO7" t="s">
        <v>371</v>
      </c>
      <c r="BP7" t="s">
        <v>372</v>
      </c>
      <c r="BQ7" t="s">
        <v>373</v>
      </c>
      <c r="BR7" t="s">
        <v>219</v>
      </c>
      <c r="BS7"/>
      <c r="BT7" s="1"/>
      <c r="BU7" s="1"/>
      <c r="BV7" s="1"/>
      <c r="BW7" s="1"/>
      <c r="BX7" s="1"/>
    </row>
    <row r="8" spans="1:76" s="27" customFormat="1" ht="45" x14ac:dyDescent="0.25">
      <c r="A8" s="335" t="s">
        <v>397</v>
      </c>
      <c r="B8" s="41" t="s">
        <v>166</v>
      </c>
      <c r="C8" t="s">
        <v>655</v>
      </c>
      <c r="D8" t="str">
        <f t="shared" si="0"/>
        <v>2A-Access.1</v>
      </c>
      <c r="E8" t="s">
        <v>651</v>
      </c>
      <c r="F8">
        <v>1</v>
      </c>
      <c r="G8">
        <f t="shared" si="1"/>
        <v>16</v>
      </c>
      <c r="H8" s="248" t="s">
        <v>423</v>
      </c>
      <c r="I8" s="248" t="s">
        <v>427</v>
      </c>
      <c r="J8" s="248" t="s">
        <v>586</v>
      </c>
      <c r="K8" s="61">
        <f t="shared" si="2"/>
        <v>0.74090382474214977</v>
      </c>
      <c r="L8" s="60">
        <f>IF(I8="Mechanical",(('Mob-Mech'!$E$47+'Demob-Mech'!$E$42)/G8),(('Mob-Hyd'!$E$47+'Demob-Hyd'!$E$42)/G8))</f>
        <v>42161.870759819998</v>
      </c>
      <c r="M8" s="56">
        <f t="shared" si="3"/>
        <v>-4.5985714285714296</v>
      </c>
      <c r="N8" s="56">
        <f t="shared" si="4"/>
        <v>4.5985714285714296</v>
      </c>
      <c r="O8" t="str">
        <f t="shared" si="5"/>
        <v>Averaged</v>
      </c>
      <c r="P8" s="58">
        <f t="shared" si="6"/>
        <v>2184.1389455782319</v>
      </c>
      <c r="Q8" s="249">
        <v>1.1000000000000001</v>
      </c>
      <c r="R8" s="58">
        <f t="shared" si="7"/>
        <v>2402.5528401360552</v>
      </c>
      <c r="S8" s="58">
        <f>R8*'PrismQC Vols'!$G$14</f>
        <v>162.20858327598285</v>
      </c>
      <c r="T8" s="282">
        <f>IF(I8="Mechanical",S8/Prod!$D$21,S8/Prod!$D$11)</f>
        <v>0.2471749840395929</v>
      </c>
      <c r="U8" s="61">
        <f>IF(I8="Hydraulic",(T8*('DR-Hyd'!$O$13+'DR-Hyd'!$O$18+'DR-Hyd'!$O$24)/S8),(T8*('DR-Mech'!$O$13+'DR-Mech'!$O$18+'DR-Mech'!$O$24)/S8))</f>
        <v>15.253427281310477</v>
      </c>
      <c r="V8" s="61">
        <f>IF(I8="Hydraulic",(T8*'DR-Hyd'!$O$34)/S8,(T8*'DR-Mech'!$O$34)/S8)+5</f>
        <v>19.221610773333332</v>
      </c>
      <c r="W8" s="61">
        <f>IF(I8="Hydraulic",(Overhead!$F$39/S8)+((Overhead!$D$39/Table!G9)/S8),(Overhead!$K$39/S8)+((Overhead!I43/Table!G9)/S8))</f>
        <v>10.515267640089263</v>
      </c>
      <c r="X8" s="61">
        <f t="shared" si="8"/>
        <v>1</v>
      </c>
      <c r="Y8" s="61">
        <f>IF(H8="Upland",0,(IF(I8="Mechanical",(T8*'DR-Mech'!$O$24+'DR-Mech'!$O$34)/S8,(T8*'DR-Hyd'!$O$24+'DR-Hyd'!$O$34)/S8)))</f>
        <v>0</v>
      </c>
      <c r="Z8" s="301">
        <f t="shared" si="9"/>
        <v>45.990305694733074</v>
      </c>
      <c r="AA8" s="301">
        <f t="shared" si="10"/>
        <v>52.88885154894303</v>
      </c>
      <c r="AB8" s="302" t="str">
        <f t="shared" si="11"/>
        <v>High</v>
      </c>
      <c r="AC8" s="303">
        <f t="shared" si="12"/>
        <v>1.0761019283746556E-2</v>
      </c>
      <c r="AD8" s="404">
        <f t="shared" si="13"/>
        <v>1197.5800987557122</v>
      </c>
      <c r="AE8" s="61">
        <f t="shared" si="14"/>
        <v>0.91980611389466149</v>
      </c>
      <c r="AF8" s="61">
        <f t="shared" si="15"/>
        <v>1.1037673366735938</v>
      </c>
      <c r="AG8" s="61">
        <f t="shared" si="16"/>
        <v>1.3797091708419922</v>
      </c>
      <c r="AH8" s="301">
        <f t="shared" si="17"/>
        <v>3.4032826214102476</v>
      </c>
      <c r="AI8" s="301">
        <f t="shared" si="18"/>
        <v>3.9137750146217845</v>
      </c>
      <c r="AJ8" s="310">
        <f t="shared" si="19"/>
        <v>49.393588316143322</v>
      </c>
      <c r="AK8" s="311">
        <f t="shared" si="20"/>
        <v>56.802626563564814</v>
      </c>
      <c r="AL8" s="41"/>
      <c r="AM8" s="29">
        <f>859-609</f>
        <v>250</v>
      </c>
      <c r="AN8" s="29"/>
      <c r="AO8" s="30">
        <v>75</v>
      </c>
      <c r="AP8" s="30">
        <f t="shared" si="21"/>
        <v>37.5</v>
      </c>
      <c r="AQ8" s="31"/>
      <c r="AR8" s="31"/>
      <c r="AS8" s="28"/>
      <c r="AT8" s="30"/>
      <c r="AU8" s="28"/>
      <c r="AV8" s="30"/>
      <c r="AW8" s="30"/>
      <c r="AX8" s="30"/>
      <c r="AY8" s="30"/>
      <c r="AZ8" s="30"/>
      <c r="BA8" s="31"/>
      <c r="BB8" s="31" t="s">
        <v>167</v>
      </c>
      <c r="BC8" s="31"/>
      <c r="BD8" s="31" t="s">
        <v>168</v>
      </c>
      <c r="BE8" s="31" t="s">
        <v>79</v>
      </c>
      <c r="BF8" s="28"/>
      <c r="BG8" s="28" t="s">
        <v>28</v>
      </c>
      <c r="BH8" s="31"/>
      <c r="BI8" s="28" t="s">
        <v>169</v>
      </c>
      <c r="BJ8" s="31" t="s">
        <v>320</v>
      </c>
      <c r="BK8" s="477" t="s">
        <v>14</v>
      </c>
      <c r="BL8" s="478" t="s">
        <v>378</v>
      </c>
      <c r="BM8" s="49">
        <v>1</v>
      </c>
      <c r="BN8" s="49">
        <v>1</v>
      </c>
      <c r="BO8" s="49" t="s">
        <v>91</v>
      </c>
      <c r="BP8" s="49" t="s">
        <v>375</v>
      </c>
      <c r="BQ8" s="49" t="s">
        <v>373</v>
      </c>
      <c r="BR8" s="49" t="s">
        <v>388</v>
      </c>
      <c r="BS8" s="49"/>
    </row>
    <row r="9" spans="1:76" s="27" customFormat="1" ht="45" x14ac:dyDescent="0.25">
      <c r="A9" s="335" t="s">
        <v>397</v>
      </c>
      <c r="B9" s="30" t="s">
        <v>166</v>
      </c>
      <c r="C9" t="s">
        <v>378</v>
      </c>
      <c r="D9" t="str">
        <f t="shared" si="0"/>
        <v>2A-Access</v>
      </c>
      <c r="E9" t="s">
        <v>651</v>
      </c>
      <c r="F9">
        <v>1</v>
      </c>
      <c r="G9">
        <f t="shared" si="1"/>
        <v>16</v>
      </c>
      <c r="H9" s="248" t="s">
        <v>423</v>
      </c>
      <c r="I9" s="248" t="s">
        <v>427</v>
      </c>
      <c r="J9" s="248" t="s">
        <v>586</v>
      </c>
      <c r="K9" s="61">
        <f t="shared" si="2"/>
        <v>0.58329958741141452</v>
      </c>
      <c r="L9" s="60">
        <f>IF(I9="Mechanical",(('Mob-Mech'!$E$47+'Demob-Mech'!$E$42)/G9),(('Mob-Hyd'!$E$47+'Demob-Hyd'!$E$42)/G9))</f>
        <v>42161.870759819998</v>
      </c>
      <c r="M9" s="56">
        <f t="shared" si="3"/>
        <v>-4.5985714285714296</v>
      </c>
      <c r="N9" s="56">
        <f t="shared" si="4"/>
        <v>4.5985714285714296</v>
      </c>
      <c r="O9" t="str">
        <f t="shared" si="5"/>
        <v>Averaged</v>
      </c>
      <c r="P9" s="58">
        <f t="shared" si="6"/>
        <v>31364.235258503413</v>
      </c>
      <c r="Q9" s="249">
        <v>1.1000000000000001</v>
      </c>
      <c r="R9" s="58">
        <f t="shared" si="7"/>
        <v>34500.658784353756</v>
      </c>
      <c r="S9" s="58">
        <f>R9*'PrismQC Vols'!$G$14</f>
        <v>2329.3152558431138</v>
      </c>
      <c r="T9" s="282">
        <f>IF(I9="Mechanical",S9/Prod!$D$21,S9/Prod!$D$11)</f>
        <v>3.5494327708085542</v>
      </c>
      <c r="U9" s="61">
        <f>IF(I9="Hydraulic",(T9*('DR-Hyd'!$O$13+'DR-Hyd'!$O$18+'DR-Hyd'!$O$24)/S9),(T9*('DR-Mech'!$O$13+'DR-Mech'!$O$18+'DR-Mech'!$O$24)/S9))</f>
        <v>15.253427281310476</v>
      </c>
      <c r="V9" s="61">
        <f>IF(I9="Hydraulic",(T9*'DR-Hyd'!$O$34)/S9,(T9*'DR-Mech'!$O$34)/S9)+5</f>
        <v>19.221610773333332</v>
      </c>
      <c r="W9" s="61">
        <f>IF(I9="Hydraulic",(Overhead!$F$39/S9)+((Overhead!$D$39/Table!G10)/S9),(Overhead!$K$39/S9)+((Overhead!I44/Table!G10)/S9))</f>
        <v>0.73226097772209342</v>
      </c>
      <c r="X9" s="61">
        <f t="shared" si="8"/>
        <v>1</v>
      </c>
      <c r="Y9" s="61">
        <f>IF(H9="Upland",0,(IF(I9="Mechanical",(T9*'DR-Mech'!$O$24+'DR-Mech'!$O$34)/S9,(T9*'DR-Hyd'!$O$24+'DR-Hyd'!$O$34)/S9)))</f>
        <v>0</v>
      </c>
      <c r="Z9" s="301">
        <f t="shared" si="9"/>
        <v>36.207299032365896</v>
      </c>
      <c r="AA9" s="301">
        <f t="shared" si="10"/>
        <v>41.638393887220779</v>
      </c>
      <c r="AB9" s="302" t="str">
        <f t="shared" si="11"/>
        <v>High</v>
      </c>
      <c r="AC9" s="303">
        <f t="shared" si="12"/>
        <v>0.15452823691460055</v>
      </c>
      <c r="AD9" s="404">
        <f t="shared" si="13"/>
        <v>17197.250218132031</v>
      </c>
      <c r="AE9" s="61">
        <f t="shared" si="14"/>
        <v>0.72414598064731794</v>
      </c>
      <c r="AF9" s="61">
        <f t="shared" si="15"/>
        <v>0.86897517677678149</v>
      </c>
      <c r="AG9" s="61">
        <f t="shared" si="16"/>
        <v>1.0862189709709769</v>
      </c>
      <c r="AH9" s="301">
        <f t="shared" si="17"/>
        <v>2.6793401283950766</v>
      </c>
      <c r="AI9" s="301">
        <f t="shared" si="18"/>
        <v>3.081241147654338</v>
      </c>
      <c r="AJ9" s="310">
        <f t="shared" si="19"/>
        <v>38.886639160760971</v>
      </c>
      <c r="AK9" s="311">
        <f t="shared" si="20"/>
        <v>44.719635034875111</v>
      </c>
      <c r="AL9" s="48"/>
      <c r="AM9" s="30">
        <v>3590</v>
      </c>
      <c r="AN9" s="30"/>
      <c r="AO9" s="30">
        <v>75</v>
      </c>
      <c r="AP9" s="30">
        <f t="shared" si="21"/>
        <v>37.5</v>
      </c>
      <c r="AQ9" s="31"/>
      <c r="AR9" s="31"/>
      <c r="AS9" s="28"/>
      <c r="AT9" s="30"/>
      <c r="AU9" s="28"/>
      <c r="AV9" s="30"/>
      <c r="AW9" s="30"/>
      <c r="AX9" s="30"/>
      <c r="AY9" s="30"/>
      <c r="AZ9" s="30"/>
      <c r="BA9" s="31"/>
      <c r="BB9" s="31" t="s">
        <v>167</v>
      </c>
      <c r="BC9" s="31"/>
      <c r="BD9" s="31" t="s">
        <v>168</v>
      </c>
      <c r="BE9" s="31" t="s">
        <v>79</v>
      </c>
      <c r="BF9" s="28"/>
      <c r="BG9" s="28" t="s">
        <v>28</v>
      </c>
      <c r="BH9" s="31"/>
      <c r="BI9" s="28" t="s">
        <v>169</v>
      </c>
      <c r="BJ9" s="31" t="s">
        <v>320</v>
      </c>
      <c r="BK9" s="28" t="s">
        <v>14</v>
      </c>
      <c r="BL9" s="49" t="s">
        <v>378</v>
      </c>
      <c r="BM9" s="49">
        <v>1</v>
      </c>
      <c r="BN9" s="49">
        <v>1</v>
      </c>
      <c r="BO9" s="49" t="s">
        <v>91</v>
      </c>
      <c r="BP9" s="49" t="s">
        <v>375</v>
      </c>
      <c r="BQ9" s="49" t="s">
        <v>373</v>
      </c>
      <c r="BR9" s="49" t="s">
        <v>389</v>
      </c>
      <c r="BS9" s="49"/>
    </row>
    <row r="10" spans="1:76" x14ac:dyDescent="0.25">
      <c r="A10" s="45" t="s">
        <v>688</v>
      </c>
      <c r="B10" s="40" t="s">
        <v>166</v>
      </c>
      <c r="C10" t="s">
        <v>370</v>
      </c>
      <c r="D10" t="str">
        <f t="shared" si="0"/>
        <v>2A-Private</v>
      </c>
      <c r="E10" t="s">
        <v>650</v>
      </c>
      <c r="F10">
        <v>1</v>
      </c>
      <c r="G10">
        <f t="shared" si="1"/>
        <v>16</v>
      </c>
      <c r="H10" s="248" t="s">
        <v>423</v>
      </c>
      <c r="I10" s="248" t="s">
        <v>427</v>
      </c>
      <c r="J10" s="248" t="s">
        <v>586</v>
      </c>
      <c r="K10" s="61">
        <f t="shared" si="2"/>
        <v>0.64104348772444875</v>
      </c>
      <c r="L10" s="60">
        <f>IF(I10="Mechanical",(('Mob-Mech'!$E$47+'Demob-Mech'!$E$42)/G10),(('Mob-Hyd'!$E$47+'Demob-Hyd'!$E$42)/G10))</f>
        <v>42161.870759819998</v>
      </c>
      <c r="M10" s="56">
        <f t="shared" si="3"/>
        <v>-4.5985714285714296</v>
      </c>
      <c r="N10" s="56">
        <f t="shared" si="4"/>
        <v>4.5985714285714296</v>
      </c>
      <c r="O10" t="str">
        <f t="shared" si="5"/>
        <v>Averaged</v>
      </c>
      <c r="P10" s="480">
        <f t="shared" si="6"/>
        <v>5320.5624714285732</v>
      </c>
      <c r="Q10" s="249">
        <v>1.1000000000000001</v>
      </c>
      <c r="R10" s="58">
        <f t="shared" si="7"/>
        <v>5852.6187185714307</v>
      </c>
      <c r="S10" s="58">
        <f>R10*'PrismQC Vols'!$G$14</f>
        <v>395.14010886029422</v>
      </c>
      <c r="T10" s="282">
        <f>IF(I10="Mechanical",S10/Prod!$D$21,S10/Prod!$D$11)</f>
        <v>0.60211826112044831</v>
      </c>
      <c r="U10" s="61">
        <f>IF(I10="Hydraulic",(T10*('DR-Hyd'!$O$13+'DR-Hyd'!$O$18+'DR-Hyd'!$O$24)/S10),(T10*('DR-Mech'!$O$13+'DR-Mech'!$O$18+'DR-Mech'!$O$24)/S10))</f>
        <v>15.253427281310476</v>
      </c>
      <c r="V10" s="61">
        <f>IF(I10="Hydraulic",(T10*'DR-Hyd'!$O$34)/S10,(T10*'DR-Mech'!$O$34)/S10)+5</f>
        <v>19.221610773333332</v>
      </c>
      <c r="W10" s="61">
        <f>IF(I10="Hydraulic",(Overhead!$F$39/S10)+((Overhead!$D$39/Table!G8)/S10),(Overhead!$K$39/S10)+((Overhead!I43/Table!G8)/S10))</f>
        <v>4.3166123317279403</v>
      </c>
      <c r="X10" s="61">
        <f t="shared" si="8"/>
        <v>1</v>
      </c>
      <c r="Y10" s="61">
        <f>IF(H10="Upland",0,(IF(I10="Mechanical",(T10*'DR-Mech'!$O$24+'DR-Mech'!$O$34)/S10,(T10*'DR-Hyd'!$O$24+'DR-Hyd'!$O$34)/S10)))</f>
        <v>0</v>
      </c>
      <c r="Z10" s="301">
        <f t="shared" si="9"/>
        <v>39.791650386371742</v>
      </c>
      <c r="AA10" s="301">
        <f t="shared" si="10"/>
        <v>45.760397944327501</v>
      </c>
      <c r="AB10" s="302" t="str">
        <f t="shared" si="11"/>
        <v>High</v>
      </c>
      <c r="AC10" s="303">
        <f t="shared" si="12"/>
        <v>2.6213842975206611E-2</v>
      </c>
      <c r="AD10" s="404">
        <f t="shared" si="13"/>
        <v>2917.3051205689153</v>
      </c>
      <c r="AE10" s="61">
        <f t="shared" si="14"/>
        <v>0.79583300772743482</v>
      </c>
      <c r="AF10" s="61">
        <f t="shared" si="15"/>
        <v>0.95499960927292182</v>
      </c>
      <c r="AG10" s="61">
        <f t="shared" si="16"/>
        <v>1.1937495115911523</v>
      </c>
      <c r="AH10" s="301">
        <f t="shared" si="17"/>
        <v>2.9445821285915086</v>
      </c>
      <c r="AI10" s="301">
        <f t="shared" si="18"/>
        <v>3.3862694478802347</v>
      </c>
      <c r="AJ10" s="310">
        <f t="shared" si="19"/>
        <v>42.736232514963248</v>
      </c>
      <c r="AK10" s="311">
        <f t="shared" si="20"/>
        <v>49.146667392207732</v>
      </c>
      <c r="AL10" s="40" t="s">
        <v>166</v>
      </c>
      <c r="AM10" s="17">
        <v>609</v>
      </c>
      <c r="AN10" s="17"/>
      <c r="AO10" s="18">
        <v>75</v>
      </c>
      <c r="AP10" s="19">
        <v>37.5</v>
      </c>
      <c r="AQ10" s="20"/>
      <c r="AR10" s="20"/>
      <c r="AS10" s="16"/>
      <c r="AT10" s="19"/>
      <c r="AU10" s="16"/>
      <c r="AV10" s="19"/>
      <c r="AW10" s="19"/>
      <c r="AX10" s="19"/>
      <c r="AY10" s="19"/>
      <c r="AZ10" s="19"/>
      <c r="BA10" s="20"/>
      <c r="BB10" s="20"/>
      <c r="BC10" s="20"/>
      <c r="BD10" s="20"/>
      <c r="BE10" s="20"/>
      <c r="BF10" s="16"/>
      <c r="BG10" s="16" t="s">
        <v>28</v>
      </c>
      <c r="BH10" s="20"/>
      <c r="BI10" s="16" t="s">
        <v>169</v>
      </c>
      <c r="BJ10" s="16"/>
      <c r="BK10" s="16" t="s">
        <v>14</v>
      </c>
      <c r="BL10" s="476" t="s">
        <v>370</v>
      </c>
      <c r="BM10">
        <v>1</v>
      </c>
      <c r="BN10">
        <v>1</v>
      </c>
      <c r="BO10" t="s">
        <v>91</v>
      </c>
      <c r="BP10" t="s">
        <v>372</v>
      </c>
      <c r="BQ10" t="s">
        <v>373</v>
      </c>
      <c r="BR10"/>
      <c r="BS10"/>
    </row>
    <row r="11" spans="1:76" s="22" customFormat="1" ht="75" x14ac:dyDescent="0.25">
      <c r="A11" s="46" t="s">
        <v>400</v>
      </c>
      <c r="B11" s="41" t="s">
        <v>289</v>
      </c>
      <c r="C11" t="s">
        <v>370</v>
      </c>
      <c r="D11" t="str">
        <f t="shared" si="0"/>
        <v>2B-Private</v>
      </c>
      <c r="E11" t="s">
        <v>650</v>
      </c>
      <c r="F11">
        <v>1</v>
      </c>
      <c r="G11">
        <f t="shared" si="1"/>
        <v>16</v>
      </c>
      <c r="H11" s="248" t="s">
        <v>423</v>
      </c>
      <c r="I11" s="248" t="s">
        <v>427</v>
      </c>
      <c r="J11" s="248" t="s">
        <v>586</v>
      </c>
      <c r="K11" s="61">
        <f t="shared" si="2"/>
        <v>0.70141157600650661</v>
      </c>
      <c r="L11" s="60">
        <f>IF(I11="Mechanical",(('Mob-Mech'!$E$47+'Demob-Mech'!$E$42)/G11),(('Mob-Hyd'!$E$47+'Demob-Hyd'!$E$42)/G11))</f>
        <v>42161.870759819998</v>
      </c>
      <c r="M11" s="56">
        <f t="shared" si="3"/>
        <v>-4.5985714285714296</v>
      </c>
      <c r="N11" s="56">
        <f t="shared" si="4"/>
        <v>4.5985714285714296</v>
      </c>
      <c r="O11" t="str">
        <f t="shared" si="5"/>
        <v>Averaged</v>
      </c>
      <c r="P11" s="58">
        <f t="shared" si="6"/>
        <v>2848.1171850340147</v>
      </c>
      <c r="Q11" s="249">
        <v>1.1000000000000001</v>
      </c>
      <c r="R11" s="58">
        <f t="shared" si="7"/>
        <v>3132.9289035374163</v>
      </c>
      <c r="S11" s="58">
        <f>R11*'PrismQC Vols'!$G$14</f>
        <v>211.51999259188167</v>
      </c>
      <c r="T11" s="282">
        <f>IF(I11="Mechanical",S11/Prod!$D$21,S11/Prod!$D$11)</f>
        <v>0.32231617918762923</v>
      </c>
      <c r="U11" s="61">
        <f>IF(I11="Hydraulic",(T11*('DR-Hyd'!$O$13+'DR-Hyd'!$O$18+'DR-Hyd'!$O$24)/S11),(T11*('DR-Mech'!$O$13+'DR-Mech'!$O$18+'DR-Mech'!$O$24)/S11))</f>
        <v>15.253427281310476</v>
      </c>
      <c r="V11" s="61">
        <f>IF(I11="Hydraulic",(T11*'DR-Hyd'!$O$34)/S11,(T11*'DR-Mech'!$O$34)/S11)+5</f>
        <v>19.221610773333335</v>
      </c>
      <c r="W11" s="61">
        <f>IF(I11="Hydraulic",(Overhead!$F$39/S11)+((Overhead!$D$39/Table!G11)/S11),(Overhead!$K$39/S11)+((Overhead!I45/Table!G11)/S11))</f>
        <v>8.0638555522156903</v>
      </c>
      <c r="X11" s="61">
        <f t="shared" si="8"/>
        <v>1</v>
      </c>
      <c r="Y11" s="61">
        <f>IF(H11="Upland",0,(IF(I11="Mechanical",(T11*'DR-Mech'!$O$24+'DR-Mech'!$O$34)/S11,(T11*'DR-Hyd'!$O$24+'DR-Hyd'!$O$34)/S11)))</f>
        <v>0</v>
      </c>
      <c r="Z11" s="301">
        <f t="shared" si="9"/>
        <v>43.538893606859503</v>
      </c>
      <c r="AA11" s="301">
        <f t="shared" si="10"/>
        <v>50.069727647888428</v>
      </c>
      <c r="AB11" s="302">
        <f t="shared" si="11"/>
        <v>0</v>
      </c>
      <c r="AC11" s="303">
        <f t="shared" si="12"/>
        <v>7.0161845730027546E-3</v>
      </c>
      <c r="AD11" s="404">
        <f t="shared" si="13"/>
        <v>780.82222438872441</v>
      </c>
      <c r="AE11" s="61">
        <f t="shared" si="14"/>
        <v>0.87077787213719005</v>
      </c>
      <c r="AF11" s="61">
        <f t="shared" si="15"/>
        <v>1.0449334465646281</v>
      </c>
      <c r="AG11" s="61">
        <f t="shared" si="16"/>
        <v>1.3061668082057851</v>
      </c>
      <c r="AH11" s="301">
        <f t="shared" si="17"/>
        <v>3.2218781269076033</v>
      </c>
      <c r="AI11" s="301">
        <f t="shared" si="18"/>
        <v>3.7051598459437436</v>
      </c>
      <c r="AJ11" s="310">
        <f t="shared" si="19"/>
        <v>46.760771733767108</v>
      </c>
      <c r="AK11" s="311">
        <f t="shared" si="20"/>
        <v>53.774887493832168</v>
      </c>
      <c r="AL11" s="41"/>
      <c r="AM11" s="29">
        <v>326</v>
      </c>
      <c r="AN11" s="29"/>
      <c r="AO11" s="30"/>
      <c r="AP11" s="8">
        <v>37.5</v>
      </c>
      <c r="AQ11" s="31"/>
      <c r="AR11" s="31"/>
      <c r="AS11" s="28"/>
      <c r="AT11" s="30"/>
      <c r="AU11" s="28"/>
      <c r="AV11" s="30"/>
      <c r="AW11" s="30"/>
      <c r="AX11" s="30"/>
      <c r="AY11" s="30"/>
      <c r="AZ11" s="30"/>
      <c r="BA11" s="31"/>
      <c r="BB11" s="31"/>
      <c r="BC11" s="31"/>
      <c r="BD11" s="31"/>
      <c r="BE11" s="31"/>
      <c r="BF11" s="28"/>
      <c r="BG11" s="28"/>
      <c r="BH11" s="31"/>
      <c r="BI11" s="28"/>
      <c r="BJ11" s="28"/>
      <c r="BK11" s="28" t="s">
        <v>14</v>
      </c>
      <c r="BL11" s="49" t="s">
        <v>370</v>
      </c>
      <c r="BM11" s="49">
        <v>1</v>
      </c>
      <c r="BN11" s="49"/>
      <c r="BO11" s="49" t="s">
        <v>219</v>
      </c>
      <c r="BP11" s="49" t="s">
        <v>219</v>
      </c>
      <c r="BQ11" s="49" t="s">
        <v>219</v>
      </c>
      <c r="BR11" s="49" t="s">
        <v>219</v>
      </c>
      <c r="BS11" s="49"/>
      <c r="BT11" s="27"/>
      <c r="BU11" s="27"/>
      <c r="BV11" s="27"/>
      <c r="BW11" s="27"/>
      <c r="BX11" s="27"/>
    </row>
    <row r="12" spans="1:76" ht="30" x14ac:dyDescent="0.25">
      <c r="A12" s="45"/>
      <c r="B12" s="40" t="s">
        <v>144</v>
      </c>
      <c r="C12" t="s">
        <v>370</v>
      </c>
      <c r="D12" t="str">
        <f t="shared" si="0"/>
        <v>3-Private</v>
      </c>
      <c r="E12" t="s">
        <v>650</v>
      </c>
      <c r="F12">
        <v>1</v>
      </c>
      <c r="G12">
        <f t="shared" si="1"/>
        <v>16</v>
      </c>
      <c r="H12" s="248" t="s">
        <v>423</v>
      </c>
      <c r="I12" s="248" t="s">
        <v>427</v>
      </c>
      <c r="J12" s="248" t="s">
        <v>586</v>
      </c>
      <c r="K12" s="61">
        <f t="shared" si="2"/>
        <v>0.63618364355933843</v>
      </c>
      <c r="L12" s="60">
        <f>IF(I12="Mechanical",(('Mob-Mech'!$E$47+'Demob-Mech'!$E$42)/G12),(('Mob-Hyd'!$E$47+'Demob-Hyd'!$E$42)/G12))</f>
        <v>42161.870759819998</v>
      </c>
      <c r="M12" s="56">
        <f t="shared" si="3"/>
        <v>-5.1700000000000008</v>
      </c>
      <c r="N12" s="56">
        <f t="shared" si="4"/>
        <v>5.1700000000000008</v>
      </c>
      <c r="O12" t="str">
        <f t="shared" si="5"/>
        <v>Actual</v>
      </c>
      <c r="P12" s="58">
        <f t="shared" si="6"/>
        <v>5720.3273518518536</v>
      </c>
      <c r="Q12" s="249">
        <v>1.1000000000000001</v>
      </c>
      <c r="R12" s="58">
        <f t="shared" si="7"/>
        <v>6292.3600870370392</v>
      </c>
      <c r="S12" s="58">
        <f>R12*'PrismQC Vols'!$G$14</f>
        <v>424.82928913347774</v>
      </c>
      <c r="T12" s="282">
        <f>IF(I12="Mechanical",S12/Prod!$D$21,S12/Prod!$D$11)</f>
        <v>0.64735891677482327</v>
      </c>
      <c r="U12" s="61">
        <f>IF(I12="Hydraulic",(T12*('DR-Hyd'!$O$13+'DR-Hyd'!$O$18+'DR-Hyd'!$O$24)/S12),(T12*('DR-Mech'!$O$13+'DR-Mech'!$O$18+'DR-Mech'!$O$24)/S12))</f>
        <v>15.253427281310477</v>
      </c>
      <c r="V12" s="61">
        <f>IF(I12="Hydraulic",(T12*'DR-Hyd'!$O$34)/S12,(T12*'DR-Mech'!$O$34)/S12)+5</f>
        <v>19.221610773333335</v>
      </c>
      <c r="W12" s="61">
        <f>IF(I12="Hydraulic",(Overhead!$F$39/S12)+((Overhead!$D$39/Table!G12)/S12),(Overhead!$K$39/S12)+((Overhead!I46/Table!G12)/S12))</f>
        <v>4.0149460272518098</v>
      </c>
      <c r="X12" s="61">
        <f t="shared" si="8"/>
        <v>1</v>
      </c>
      <c r="Y12" s="61">
        <f>IF(H12="Upland",0,(IF(I12="Mechanical",(T12*'DR-Mech'!$O$24+'DR-Mech'!$O$34)/S12,(T12*'DR-Hyd'!$O$24+'DR-Hyd'!$O$34)/S12)))</f>
        <v>0</v>
      </c>
      <c r="Z12" s="301">
        <f t="shared" si="9"/>
        <v>39.489984081895621</v>
      </c>
      <c r="AA12" s="301">
        <f t="shared" si="10"/>
        <v>45.413481694179957</v>
      </c>
      <c r="AB12" s="302" t="str">
        <f t="shared" si="11"/>
        <v>Moderate</v>
      </c>
      <c r="AC12" s="303">
        <f t="shared" si="12"/>
        <v>9.0894742883379249E-3</v>
      </c>
      <c r="AD12" s="404">
        <f t="shared" si="13"/>
        <v>1011.5559900823251</v>
      </c>
      <c r="AE12" s="61">
        <f t="shared" si="14"/>
        <v>0.78979968163791248</v>
      </c>
      <c r="AF12" s="61">
        <f t="shared" si="15"/>
        <v>0.9477596179654949</v>
      </c>
      <c r="AG12" s="61">
        <f t="shared" si="16"/>
        <v>1.1846995224568686</v>
      </c>
      <c r="AH12" s="301">
        <f t="shared" si="17"/>
        <v>2.9222588220602761</v>
      </c>
      <c r="AI12" s="301">
        <f t="shared" si="18"/>
        <v>3.3605976453693174</v>
      </c>
      <c r="AJ12" s="310">
        <f t="shared" si="19"/>
        <v>42.412242903955899</v>
      </c>
      <c r="AK12" s="311">
        <f t="shared" si="20"/>
        <v>48.774079339549282</v>
      </c>
      <c r="AL12" s="40" t="s">
        <v>144</v>
      </c>
      <c r="AM12" s="17">
        <v>905</v>
      </c>
      <c r="AN12" s="17"/>
      <c r="AO12" s="19">
        <v>35</v>
      </c>
      <c r="AP12" s="19">
        <f t="shared" ref="AP12:AP20" si="22">0.5*AO12</f>
        <v>17.5</v>
      </c>
      <c r="AQ12" s="20" t="s">
        <v>286</v>
      </c>
      <c r="AR12" s="20" t="s">
        <v>287</v>
      </c>
      <c r="AS12" s="16" t="s">
        <v>8</v>
      </c>
      <c r="AT12" s="19">
        <v>-4.4000000000000004</v>
      </c>
      <c r="AU12" s="16" t="s">
        <v>8</v>
      </c>
      <c r="AV12" s="19">
        <v>-5.4</v>
      </c>
      <c r="AW12" s="19">
        <f>AV12</f>
        <v>-5.4</v>
      </c>
      <c r="AX12" s="19">
        <f>AW12+(0.57-0.34)</f>
        <v>-5.1700000000000008</v>
      </c>
      <c r="AY12" s="19"/>
      <c r="AZ12" s="19"/>
      <c r="BA12" s="20" t="s">
        <v>288</v>
      </c>
      <c r="BB12" s="20" t="s">
        <v>284</v>
      </c>
      <c r="BC12" s="20" t="s">
        <v>10</v>
      </c>
      <c r="BD12" s="20" t="s">
        <v>11</v>
      </c>
      <c r="BE12" s="20" t="s">
        <v>40</v>
      </c>
      <c r="BF12" s="16"/>
      <c r="BG12" s="16" t="s">
        <v>13</v>
      </c>
      <c r="BH12" s="20"/>
      <c r="BI12" s="16"/>
      <c r="BJ12" s="16"/>
      <c r="BK12" s="21" t="s">
        <v>14</v>
      </c>
      <c r="BL12" t="s">
        <v>370</v>
      </c>
      <c r="BM12">
        <v>1</v>
      </c>
      <c r="BN12">
        <v>1</v>
      </c>
      <c r="BO12" t="s">
        <v>371</v>
      </c>
      <c r="BP12" t="s">
        <v>372</v>
      </c>
      <c r="BQ12" t="s">
        <v>370</v>
      </c>
      <c r="BR12" t="s">
        <v>219</v>
      </c>
      <c r="BS12"/>
      <c r="BT12" s="27"/>
      <c r="BU12" s="27"/>
      <c r="BV12" s="27"/>
      <c r="BW12" s="27"/>
      <c r="BX12" s="27"/>
    </row>
    <row r="13" spans="1:76" ht="30" x14ac:dyDescent="0.25">
      <c r="B13" s="42" t="s">
        <v>54</v>
      </c>
      <c r="C13" t="s">
        <v>370</v>
      </c>
      <c r="D13" t="str">
        <f t="shared" si="0"/>
        <v>4-Private</v>
      </c>
      <c r="E13" t="s">
        <v>650</v>
      </c>
      <c r="F13">
        <v>1</v>
      </c>
      <c r="G13">
        <f t="shared" si="1"/>
        <v>16</v>
      </c>
      <c r="H13" s="248" t="s">
        <v>423</v>
      </c>
      <c r="I13" s="248" t="s">
        <v>427</v>
      </c>
      <c r="J13" s="248" t="s">
        <v>586</v>
      </c>
      <c r="K13" s="61">
        <f t="shared" si="2"/>
        <v>0.61633513740141643</v>
      </c>
      <c r="L13" s="60">
        <f>IF(I13="Mechanical",(('Mob-Mech'!$E$47+'Demob-Mech'!$E$42)/G13),(('Mob-Hyd'!$E$47+'Demob-Hyd'!$E$42)/G13))</f>
        <v>42161.870759819998</v>
      </c>
      <c r="M13" s="56">
        <f t="shared" si="3"/>
        <v>-4.5985714285714296</v>
      </c>
      <c r="N13" s="56">
        <f t="shared" si="4"/>
        <v>4.5985714285714296</v>
      </c>
      <c r="O13" t="str">
        <f t="shared" si="5"/>
        <v>Averaged</v>
      </c>
      <c r="P13" s="58">
        <f t="shared" si="6"/>
        <v>8252.8768229024972</v>
      </c>
      <c r="Q13" s="249">
        <v>1.1000000000000001</v>
      </c>
      <c r="R13" s="58">
        <f t="shared" si="7"/>
        <v>9078.164505192748</v>
      </c>
      <c r="S13" s="58">
        <f>R13*'PrismQC Vols'!$G$14</f>
        <v>612.91313911341047</v>
      </c>
      <c r="T13" s="282">
        <f>IF(I13="Mechanical",S13/Prod!$D$21,S13/Prod!$D$11)</f>
        <v>0.9339628786490064</v>
      </c>
      <c r="U13" s="61">
        <f>IF(I13="Hydraulic",(T13*('DR-Hyd'!$O$13+'DR-Hyd'!$O$18+'DR-Hyd'!$O$24)/S13),(T13*('DR-Mech'!$O$13+'DR-Mech'!$O$18+'DR-Mech'!$O$24)/S13))</f>
        <v>15.253427281310477</v>
      </c>
      <c r="V13" s="61">
        <f>IF(I13="Hydraulic",(T13*'DR-Hyd'!$O$34)/S13,(T13*'DR-Mech'!$O$34)/S13)+5</f>
        <v>19.221610773333332</v>
      </c>
      <c r="W13" s="61">
        <f>IF(I13="Hydraulic",(Overhead!$F$39/S13)+((Overhead!$D$39/Table!G13)/S13),(Overhead!$K$39/S13)+((Overhead!I47/Table!G13)/S13))</f>
        <v>2.7828848132280917</v>
      </c>
      <c r="X13" s="61">
        <f t="shared" si="8"/>
        <v>1</v>
      </c>
      <c r="Y13" s="61">
        <f>IF(H13="Upland",0,(IF(I13="Mechanical",(T13*'DR-Mech'!$O$24+'DR-Mech'!$O$34)/S13,(T13*'DR-Hyd'!$O$24+'DR-Hyd'!$O$34)/S13)))</f>
        <v>0</v>
      </c>
      <c r="Z13" s="301">
        <f t="shared" si="9"/>
        <v>38.257922867871905</v>
      </c>
      <c r="AA13" s="301">
        <f t="shared" si="10"/>
        <v>43.996611298052684</v>
      </c>
      <c r="AB13" s="302" t="str">
        <f t="shared" si="11"/>
        <v>Moderate</v>
      </c>
      <c r="AC13" s="303">
        <f t="shared" si="12"/>
        <v>1.7920684113865933E-2</v>
      </c>
      <c r="AD13" s="404">
        <f t="shared" si="13"/>
        <v>1994.3700577945131</v>
      </c>
      <c r="AE13" s="61">
        <f t="shared" si="14"/>
        <v>0.76515845735743815</v>
      </c>
      <c r="AF13" s="61">
        <f t="shared" si="15"/>
        <v>0.91819014882892569</v>
      </c>
      <c r="AG13" s="61">
        <f t="shared" si="16"/>
        <v>1.147737686036157</v>
      </c>
      <c r="AH13" s="301">
        <f t="shared" si="17"/>
        <v>2.8310862922225208</v>
      </c>
      <c r="AI13" s="301">
        <f t="shared" si="18"/>
        <v>3.2557492360558986</v>
      </c>
      <c r="AJ13" s="310">
        <f t="shared" si="19"/>
        <v>41.089009160094427</v>
      </c>
      <c r="AK13" s="311">
        <f t="shared" si="20"/>
        <v>47.25236053410859</v>
      </c>
      <c r="AL13" s="42" t="s">
        <v>54</v>
      </c>
      <c r="AM13" s="14">
        <v>1249</v>
      </c>
      <c r="AN13" s="14"/>
      <c r="AO13" s="4">
        <v>50</v>
      </c>
      <c r="AP13" s="5">
        <f t="shared" si="22"/>
        <v>25</v>
      </c>
      <c r="AQ13" s="6" t="s">
        <v>287</v>
      </c>
      <c r="AR13" s="6" t="s">
        <v>290</v>
      </c>
      <c r="AS13" s="3" t="s">
        <v>51</v>
      </c>
      <c r="AT13" s="4"/>
      <c r="AU13" s="3" t="s">
        <v>8</v>
      </c>
      <c r="AV13" s="4">
        <v>-5.4</v>
      </c>
      <c r="AW13" s="4"/>
      <c r="AX13" s="4"/>
      <c r="AY13" s="4"/>
      <c r="AZ13" s="4"/>
      <c r="BA13" s="6"/>
      <c r="BB13" s="6"/>
      <c r="BC13" s="6" t="s">
        <v>10</v>
      </c>
      <c r="BD13" s="6" t="s">
        <v>291</v>
      </c>
      <c r="BE13" s="6" t="s">
        <v>269</v>
      </c>
      <c r="BF13" s="3" t="s">
        <v>292</v>
      </c>
      <c r="BG13" s="3" t="s">
        <v>13</v>
      </c>
      <c r="BH13" s="6"/>
      <c r="BI13" s="3"/>
      <c r="BJ13" s="3"/>
      <c r="BK13" s="7" t="s">
        <v>14</v>
      </c>
      <c r="BL13" t="s">
        <v>370</v>
      </c>
      <c r="BM13">
        <v>1</v>
      </c>
      <c r="BN13">
        <v>1</v>
      </c>
      <c r="BO13" t="s">
        <v>91</v>
      </c>
      <c r="BP13" t="s">
        <v>372</v>
      </c>
      <c r="BQ13" t="s">
        <v>370</v>
      </c>
      <c r="BR13" t="s">
        <v>219</v>
      </c>
      <c r="BS13"/>
    </row>
    <row r="14" spans="1:76" s="22" customFormat="1" x14ac:dyDescent="0.25">
      <c r="A14" s="24"/>
      <c r="B14" s="42" t="s">
        <v>293</v>
      </c>
      <c r="C14" t="s">
        <v>370</v>
      </c>
      <c r="D14" t="str">
        <f t="shared" si="0"/>
        <v>5-Private</v>
      </c>
      <c r="E14" t="s">
        <v>650</v>
      </c>
      <c r="F14">
        <v>1</v>
      </c>
      <c r="G14">
        <f t="shared" si="1"/>
        <v>16</v>
      </c>
      <c r="H14" s="248" t="s">
        <v>423</v>
      </c>
      <c r="I14" s="248" t="s">
        <v>427</v>
      </c>
      <c r="J14" s="248" t="s">
        <v>586</v>
      </c>
      <c r="K14" s="61">
        <f t="shared" si="2"/>
        <v>0.61446941448827463</v>
      </c>
      <c r="L14" s="60">
        <f>IF(I14="Mechanical",(('Mob-Mech'!$E$47+'Demob-Mech'!$E$42)/G14),(('Mob-Hyd'!$E$47+'Demob-Hyd'!$E$42)/G14))</f>
        <v>42161.870759819998</v>
      </c>
      <c r="M14" s="56">
        <f t="shared" si="3"/>
        <v>-4.5985714285714296</v>
      </c>
      <c r="N14" s="56">
        <f t="shared" si="4"/>
        <v>4.5985714285714296</v>
      </c>
      <c r="O14" t="str">
        <f t="shared" si="5"/>
        <v>Averaged</v>
      </c>
      <c r="P14" s="58">
        <f t="shared" si="6"/>
        <v>8611.2388714285753</v>
      </c>
      <c r="Q14" s="249">
        <v>1.1000000000000001</v>
      </c>
      <c r="R14" s="58">
        <f t="shared" si="7"/>
        <v>9472.362758571433</v>
      </c>
      <c r="S14" s="58">
        <f>R14*'PrismQC Vols'!$G$14</f>
        <v>639.527471644304</v>
      </c>
      <c r="T14" s="282">
        <f>IF(I14="Mechanical",S14/Prod!$D$21,S14/Prod!$D$11)</f>
        <v>0.97451805202941566</v>
      </c>
      <c r="U14" s="61">
        <f>IF(I14="Hydraulic",(T14*('DR-Hyd'!$O$13+'DR-Hyd'!$O$18+'DR-Hyd'!$O$24)/S14),(T14*('DR-Mech'!$O$13+'DR-Mech'!$O$18+'DR-Mech'!$O$24)/S14))</f>
        <v>15.253427281310479</v>
      </c>
      <c r="V14" s="61">
        <f>IF(I14="Hydraulic",(T14*'DR-Hyd'!$O$34)/S14,(T14*'DR-Mech'!$O$34)/S14)+5</f>
        <v>19.221610773333339</v>
      </c>
      <c r="W14" s="61">
        <f>IF(I14="Hydraulic",(Overhead!$F$39/S14)+((Overhead!$D$39/Table!G14)/S14),(Overhead!$K$39/S14)+((Overhead!I48/Table!G14)/S14))</f>
        <v>2.6670733350690745</v>
      </c>
      <c r="X14" s="61">
        <f t="shared" si="8"/>
        <v>1</v>
      </c>
      <c r="Y14" s="61">
        <f>IF(H14="Upland",0,(IF(I14="Mechanical",(T14*'DR-Mech'!$O$24+'DR-Mech'!$O$34)/S14,(T14*'DR-Hyd'!$O$24+'DR-Hyd'!$O$34)/S14)))</f>
        <v>0</v>
      </c>
      <c r="Z14" s="301">
        <f t="shared" si="9"/>
        <v>38.142111389712895</v>
      </c>
      <c r="AA14" s="301">
        <f t="shared" si="10"/>
        <v>43.863428098169827</v>
      </c>
      <c r="AB14" s="302" t="str">
        <f t="shared" si="11"/>
        <v>Moderate</v>
      </c>
      <c r="AC14" s="303">
        <f t="shared" si="12"/>
        <v>1.7988119834710745E-2</v>
      </c>
      <c r="AD14" s="404">
        <f t="shared" si="13"/>
        <v>2001.8748930800489</v>
      </c>
      <c r="AE14" s="61">
        <f t="shared" si="14"/>
        <v>0.76284222779425792</v>
      </c>
      <c r="AF14" s="61">
        <f t="shared" si="15"/>
        <v>0.91541067335310944</v>
      </c>
      <c r="AG14" s="61">
        <f t="shared" si="16"/>
        <v>1.1442633416913868</v>
      </c>
      <c r="AH14" s="301">
        <f t="shared" si="17"/>
        <v>2.8225162428387542</v>
      </c>
      <c r="AI14" s="301">
        <f t="shared" si="18"/>
        <v>3.245893679264567</v>
      </c>
      <c r="AJ14" s="310">
        <f t="shared" si="19"/>
        <v>40.964627632551647</v>
      </c>
      <c r="AK14" s="311">
        <f t="shared" si="20"/>
        <v>47.109321777434388</v>
      </c>
      <c r="AL14" s="42" t="s">
        <v>293</v>
      </c>
      <c r="AM14" s="14">
        <v>1393</v>
      </c>
      <c r="AN14" s="14"/>
      <c r="AO14" s="4">
        <v>45</v>
      </c>
      <c r="AP14" s="5">
        <f t="shared" si="22"/>
        <v>22.5</v>
      </c>
      <c r="AQ14" s="6" t="s">
        <v>290</v>
      </c>
      <c r="AR14" s="6" t="s">
        <v>294</v>
      </c>
      <c r="AS14" s="3" t="s">
        <v>8</v>
      </c>
      <c r="AT14" s="4">
        <v>-5.4</v>
      </c>
      <c r="AU14" s="3"/>
      <c r="AV14" s="4"/>
      <c r="AW14" s="4"/>
      <c r="AX14" s="4"/>
      <c r="AY14" s="4"/>
      <c r="AZ14" s="4"/>
      <c r="BA14" s="6"/>
      <c r="BB14" s="6"/>
      <c r="BC14" s="6" t="s">
        <v>10</v>
      </c>
      <c r="BD14" s="6" t="s">
        <v>11</v>
      </c>
      <c r="BE14" s="6" t="s">
        <v>27</v>
      </c>
      <c r="BF14" s="3"/>
      <c r="BG14" s="3" t="s">
        <v>13</v>
      </c>
      <c r="BH14" s="6"/>
      <c r="BI14" s="3"/>
      <c r="BJ14" s="3"/>
      <c r="BK14" s="7" t="s">
        <v>14</v>
      </c>
      <c r="BL14" t="s">
        <v>370</v>
      </c>
      <c r="BM14">
        <v>1</v>
      </c>
      <c r="BN14">
        <v>1</v>
      </c>
      <c r="BO14" t="s">
        <v>91</v>
      </c>
      <c r="BP14" t="s">
        <v>372</v>
      </c>
      <c r="BQ14" t="s">
        <v>373</v>
      </c>
      <c r="BR14" t="s">
        <v>219</v>
      </c>
      <c r="BS14"/>
      <c r="BT14" s="1"/>
      <c r="BU14" s="1"/>
      <c r="BV14" s="1"/>
      <c r="BW14" s="1"/>
      <c r="BX14" s="1"/>
    </row>
    <row r="15" spans="1:76" x14ac:dyDescent="0.25">
      <c r="A15" s="45"/>
      <c r="B15" s="40" t="s">
        <v>295</v>
      </c>
      <c r="C15" t="s">
        <v>370</v>
      </c>
      <c r="D15" t="str">
        <f t="shared" si="0"/>
        <v>6-Private</v>
      </c>
      <c r="E15" t="s">
        <v>650</v>
      </c>
      <c r="F15">
        <v>1</v>
      </c>
      <c r="G15">
        <f t="shared" si="1"/>
        <v>16</v>
      </c>
      <c r="H15" s="248" t="s">
        <v>423</v>
      </c>
      <c r="I15" s="248" t="s">
        <v>427</v>
      </c>
      <c r="J15" s="248" t="s">
        <v>586</v>
      </c>
      <c r="K15" s="61">
        <f t="shared" si="2"/>
        <v>0.6231063046005646</v>
      </c>
      <c r="L15" s="60">
        <f>IF(I15="Mechanical",(('Mob-Mech'!$E$47+'Demob-Mech'!$E$42)/G15),(('Mob-Hyd'!$E$47+'Demob-Hyd'!$E$42)/G15))</f>
        <v>42161.870759819998</v>
      </c>
      <c r="M15" s="56">
        <f t="shared" si="3"/>
        <v>-4.1700000000000008</v>
      </c>
      <c r="N15" s="56">
        <f t="shared" si="4"/>
        <v>4.1700000000000008</v>
      </c>
      <c r="O15" t="str">
        <f t="shared" si="5"/>
        <v>Actual</v>
      </c>
      <c r="P15" s="58">
        <f t="shared" si="6"/>
        <v>7169.9721333333364</v>
      </c>
      <c r="Q15" s="249">
        <v>1.1000000000000001</v>
      </c>
      <c r="R15" s="58">
        <f t="shared" si="7"/>
        <v>7886.9693466666704</v>
      </c>
      <c r="S15" s="58">
        <f>R15*'PrismQC Vols'!$G$14</f>
        <v>532.48948480627666</v>
      </c>
      <c r="T15" s="282">
        <f>IF(I15="Mechanical",S15/Prod!$D$21,S15/Prod!$D$11)</f>
        <v>0.8114125482762311</v>
      </c>
      <c r="U15" s="61">
        <f>IF(I15="Hydraulic",(T15*('DR-Hyd'!$O$13+'DR-Hyd'!$O$18+'DR-Hyd'!$O$24)/S15),(T15*('DR-Mech'!$O$13+'DR-Mech'!$O$18+'DR-Mech'!$O$24)/S15))</f>
        <v>15.253427281310476</v>
      </c>
      <c r="V15" s="61">
        <f>IF(I15="Hydraulic",(T15*'DR-Hyd'!$O$34)/S15,(T15*'DR-Mech'!$O$34)/S15)+5</f>
        <v>19.221610773333335</v>
      </c>
      <c r="W15" s="61">
        <f>IF(I15="Hydraulic",(Overhead!$F$39/S15)+((Overhead!$D$39/Table!G15)/S15),(Overhead!$K$39/S15)+((Overhead!I49/Table!G15)/S15))</f>
        <v>3.2031931434048881</v>
      </c>
      <c r="X15" s="61">
        <f t="shared" si="8"/>
        <v>1</v>
      </c>
      <c r="Y15" s="61">
        <f>IF(H15="Upland",0,(IF(I15="Mechanical",(T15*'DR-Mech'!$O$24+'DR-Mech'!$O$34)/S15,(T15*'DR-Hyd'!$O$24+'DR-Hyd'!$O$34)/S15)))</f>
        <v>0</v>
      </c>
      <c r="Z15" s="301">
        <f t="shared" si="9"/>
        <v>38.678231198048699</v>
      </c>
      <c r="AA15" s="301">
        <f t="shared" si="10"/>
        <v>44.479965877756001</v>
      </c>
      <c r="AB15" s="302" t="str">
        <f t="shared" si="11"/>
        <v>Moderate</v>
      </c>
      <c r="AC15" s="303">
        <f t="shared" si="12"/>
        <v>1.6391184573002756E-2</v>
      </c>
      <c r="AD15" s="404">
        <f t="shared" si="13"/>
        <v>1824.1540064247013</v>
      </c>
      <c r="AE15" s="61">
        <f t="shared" si="14"/>
        <v>0.77356462396097403</v>
      </c>
      <c r="AF15" s="61">
        <f t="shared" si="15"/>
        <v>0.92827754875316881</v>
      </c>
      <c r="AG15" s="61">
        <f t="shared" si="16"/>
        <v>1.1603469359414609</v>
      </c>
      <c r="AH15" s="301">
        <f t="shared" si="17"/>
        <v>2.8621891086556035</v>
      </c>
      <c r="AI15" s="301">
        <f t="shared" si="18"/>
        <v>3.291517474953944</v>
      </c>
      <c r="AJ15" s="310">
        <f t="shared" si="19"/>
        <v>41.540420306704306</v>
      </c>
      <c r="AK15" s="311">
        <f t="shared" si="20"/>
        <v>47.77148335270995</v>
      </c>
      <c r="AL15" s="40" t="s">
        <v>295</v>
      </c>
      <c r="AM15" s="17">
        <v>1428</v>
      </c>
      <c r="AN15" s="17"/>
      <c r="AO15" s="19">
        <v>40</v>
      </c>
      <c r="AP15" s="19">
        <f t="shared" si="22"/>
        <v>20</v>
      </c>
      <c r="AQ15" s="20" t="s">
        <v>294</v>
      </c>
      <c r="AR15" s="20" t="s">
        <v>296</v>
      </c>
      <c r="AS15" s="16" t="s">
        <v>8</v>
      </c>
      <c r="AT15" s="19">
        <v>-4.4000000000000004</v>
      </c>
      <c r="AU15" s="16"/>
      <c r="AV15" s="19"/>
      <c r="AW15" s="19">
        <f>AT15</f>
        <v>-4.4000000000000004</v>
      </c>
      <c r="AX15" s="19">
        <f>AW15+(0.57-0.34)</f>
        <v>-4.1700000000000008</v>
      </c>
      <c r="AY15" s="19"/>
      <c r="AZ15" s="19"/>
      <c r="BA15" s="20" t="s">
        <v>9</v>
      </c>
      <c r="BB15" s="20"/>
      <c r="BC15" s="20" t="s">
        <v>10</v>
      </c>
      <c r="BD15" s="20" t="s">
        <v>11</v>
      </c>
      <c r="BE15" s="20" t="s">
        <v>27</v>
      </c>
      <c r="BF15" s="16"/>
      <c r="BG15" s="16" t="s">
        <v>13</v>
      </c>
      <c r="BH15" s="20"/>
      <c r="BI15" s="16"/>
      <c r="BJ15" s="16"/>
      <c r="BK15" s="21" t="s">
        <v>14</v>
      </c>
      <c r="BL15" t="s">
        <v>370</v>
      </c>
      <c r="BM15">
        <v>1</v>
      </c>
      <c r="BN15">
        <v>1</v>
      </c>
      <c r="BO15" t="s">
        <v>371</v>
      </c>
      <c r="BP15" t="s">
        <v>372</v>
      </c>
      <c r="BQ15" t="s">
        <v>373</v>
      </c>
      <c r="BR15" t="s">
        <v>219</v>
      </c>
      <c r="BS15"/>
    </row>
    <row r="16" spans="1:76" ht="30" x14ac:dyDescent="0.25">
      <c r="B16" s="42" t="s">
        <v>297</v>
      </c>
      <c r="C16" t="s">
        <v>370</v>
      </c>
      <c r="D16" t="str">
        <f t="shared" si="0"/>
        <v>7-Private</v>
      </c>
      <c r="E16" t="s">
        <v>650</v>
      </c>
      <c r="F16">
        <v>1</v>
      </c>
      <c r="G16">
        <f t="shared" si="1"/>
        <v>16</v>
      </c>
      <c r="H16" s="248" t="s">
        <v>423</v>
      </c>
      <c r="I16" s="248" t="s">
        <v>427</v>
      </c>
      <c r="J16" s="248" t="s">
        <v>586</v>
      </c>
      <c r="K16" s="61">
        <f t="shared" si="2"/>
        <v>0.59800442483550409</v>
      </c>
      <c r="L16" s="60">
        <f>IF(I16="Mechanical",(('Mob-Mech'!$E$47+'Demob-Mech'!$E$42)/G16),(('Mob-Hyd'!$E$47+'Demob-Hyd'!$E$42)/G16))</f>
        <v>42161.870759819998</v>
      </c>
      <c r="M16" s="56">
        <f t="shared" si="3"/>
        <v>-4.5985714285714296</v>
      </c>
      <c r="N16" s="56">
        <f t="shared" si="4"/>
        <v>4.5985714285714296</v>
      </c>
      <c r="O16" t="str">
        <f t="shared" si="5"/>
        <v>Averaged</v>
      </c>
      <c r="P16" s="58">
        <f t="shared" si="6"/>
        <v>13961.261640589575</v>
      </c>
      <c r="Q16" s="249">
        <v>1.1000000000000001</v>
      </c>
      <c r="R16" s="58">
        <f t="shared" si="7"/>
        <v>15357.387804648533</v>
      </c>
      <c r="S16" s="58">
        <f>R16*'PrismQC Vols'!$G$14</f>
        <v>1036.8554967851719</v>
      </c>
      <c r="T16" s="282">
        <f>IF(I16="Mechanical",S16/Prod!$D$21,S16/Prod!$D$11)</f>
        <v>1.5799702808155001</v>
      </c>
      <c r="U16" s="61">
        <f>IF(I16="Hydraulic",(T16*('DR-Hyd'!$O$13+'DR-Hyd'!$O$18+'DR-Hyd'!$O$24)/S16),(T16*('DR-Mech'!$O$13+'DR-Mech'!$O$18+'DR-Mech'!$O$24)/S16))</f>
        <v>15.253427281310477</v>
      </c>
      <c r="V16" s="61">
        <f>IF(I16="Hydraulic",(T16*'DR-Hyd'!$O$34)/S16,(T16*'DR-Mech'!$O$34)/S16)+5</f>
        <v>19.221610773333332</v>
      </c>
      <c r="W16" s="61">
        <f>IF(I16="Hydraulic",(Overhead!$F$39/S16)+((Overhead!$D$39/Table!G16)/S16),(Overhead!$K$39/S16)+((Overhead!I50/Table!G16)/S16))</f>
        <v>1.6450379748722759</v>
      </c>
      <c r="X16" s="61">
        <f t="shared" si="8"/>
        <v>1</v>
      </c>
      <c r="Y16" s="61">
        <f>IF(H16="Upland",0,(IF(I16="Mechanical",(T16*'DR-Mech'!$O$24+'DR-Mech'!$O$34)/S16,(T16*'DR-Hyd'!$O$24+'DR-Hyd'!$O$34)/S16)))</f>
        <v>0</v>
      </c>
      <c r="Z16" s="301">
        <f t="shared" si="9"/>
        <v>37.120076029516085</v>
      </c>
      <c r="AA16" s="301">
        <f t="shared" si="10"/>
        <v>42.688087433943494</v>
      </c>
      <c r="AB16" s="302" t="str">
        <f t="shared" si="11"/>
        <v>Moderate</v>
      </c>
      <c r="AC16" s="303">
        <f t="shared" si="12"/>
        <v>3.1328914141414144E-2</v>
      </c>
      <c r="AD16" s="404">
        <f t="shared" si="13"/>
        <v>3486.5548608441309</v>
      </c>
      <c r="AE16" s="61">
        <f t="shared" si="14"/>
        <v>0.74240152059032172</v>
      </c>
      <c r="AF16" s="61">
        <f t="shared" si="15"/>
        <v>0.89088182470838606</v>
      </c>
      <c r="AG16" s="61">
        <f t="shared" si="16"/>
        <v>1.1136022808854824</v>
      </c>
      <c r="AH16" s="301">
        <f t="shared" si="17"/>
        <v>2.7468856261841905</v>
      </c>
      <c r="AI16" s="301">
        <f t="shared" si="18"/>
        <v>3.1589184701118187</v>
      </c>
      <c r="AJ16" s="310">
        <f t="shared" si="19"/>
        <v>39.866961655700273</v>
      </c>
      <c r="AK16" s="311">
        <f t="shared" si="20"/>
        <v>45.847005904055308</v>
      </c>
      <c r="AL16" s="42" t="s">
        <v>297</v>
      </c>
      <c r="AM16" s="14">
        <v>1985</v>
      </c>
      <c r="AN16" s="14"/>
      <c r="AO16" s="4">
        <v>55</v>
      </c>
      <c r="AP16" s="5">
        <f t="shared" si="22"/>
        <v>27.5</v>
      </c>
      <c r="AQ16" s="6" t="s">
        <v>296</v>
      </c>
      <c r="AR16" s="6" t="s">
        <v>298</v>
      </c>
      <c r="AS16" s="3" t="s">
        <v>8</v>
      </c>
      <c r="AT16" s="4">
        <v>-5.4</v>
      </c>
      <c r="AU16" s="3"/>
      <c r="AV16" s="4"/>
      <c r="AW16" s="4"/>
      <c r="AX16" s="4"/>
      <c r="AY16" s="4"/>
      <c r="AZ16" s="4"/>
      <c r="BA16" s="6" t="s">
        <v>9</v>
      </c>
      <c r="BB16" s="6"/>
      <c r="BC16" s="6" t="s">
        <v>26</v>
      </c>
      <c r="BD16" s="6" t="s">
        <v>11</v>
      </c>
      <c r="BE16" s="6" t="s">
        <v>299</v>
      </c>
      <c r="BF16" s="3"/>
      <c r="BG16" s="3" t="s">
        <v>13</v>
      </c>
      <c r="BH16" s="6"/>
      <c r="BI16" s="3"/>
      <c r="BJ16" s="3"/>
      <c r="BK16" s="7" t="s">
        <v>14</v>
      </c>
      <c r="BL16" t="s">
        <v>370</v>
      </c>
      <c r="BM16">
        <v>1</v>
      </c>
      <c r="BN16">
        <v>1</v>
      </c>
      <c r="BO16" t="s">
        <v>91</v>
      </c>
      <c r="BP16" t="s">
        <v>372</v>
      </c>
      <c r="BQ16" t="s">
        <v>370</v>
      </c>
      <c r="BR16" t="s">
        <v>395</v>
      </c>
      <c r="BS16"/>
    </row>
    <row r="17" spans="1:76" ht="30.75" thickBot="1" x14ac:dyDescent="0.3">
      <c r="B17" s="43" t="s">
        <v>179</v>
      </c>
      <c r="C17" t="s">
        <v>370</v>
      </c>
      <c r="D17" t="str">
        <f t="shared" si="0"/>
        <v>7A-Private</v>
      </c>
      <c r="E17" t="s">
        <v>650</v>
      </c>
      <c r="F17">
        <v>1</v>
      </c>
      <c r="G17">
        <f t="shared" si="1"/>
        <v>16</v>
      </c>
      <c r="H17" s="248" t="s">
        <v>423</v>
      </c>
      <c r="I17" s="248" t="s">
        <v>427</v>
      </c>
      <c r="J17" s="248" t="s">
        <v>586</v>
      </c>
      <c r="K17" s="61">
        <f t="shared" si="2"/>
        <v>0.59959875589055112</v>
      </c>
      <c r="L17" s="60">
        <f>IF(I17="Mechanical",(('Mob-Mech'!$E$47+'Demob-Mech'!$E$42)/G17),(('Mob-Hyd'!$E$47+'Demob-Hyd'!$E$42)/G17))</f>
        <v>42161.870759819998</v>
      </c>
      <c r="M17" s="56">
        <f t="shared" si="3"/>
        <v>-4.5985714285714296</v>
      </c>
      <c r="N17" s="56">
        <f t="shared" si="4"/>
        <v>4.5985714285714296</v>
      </c>
      <c r="O17" t="str">
        <f t="shared" si="5"/>
        <v>Averaged</v>
      </c>
      <c r="P17" s="58">
        <f t="shared" si="6"/>
        <v>13169.015131972792</v>
      </c>
      <c r="Q17" s="249">
        <v>1.1000000000000001</v>
      </c>
      <c r="R17" s="58">
        <f t="shared" si="7"/>
        <v>14485.916645170073</v>
      </c>
      <c r="S17" s="58">
        <f>R17*'PrismQC Vols'!$G$14</f>
        <v>978.01803865173326</v>
      </c>
      <c r="T17" s="282">
        <f>IF(I17="Mechanical",S17/Prod!$D$21,S17/Prod!$D$11)</f>
        <v>1.490313201755022</v>
      </c>
      <c r="U17" s="61">
        <f>IF(I17="Hydraulic",(T17*('DR-Hyd'!$O$13+'DR-Hyd'!$O$18+'DR-Hyd'!$O$24)/S17),(T17*('DR-Mech'!$O$13+'DR-Mech'!$O$18+'DR-Mech'!$O$24)/S17))</f>
        <v>15.253427281310476</v>
      </c>
      <c r="V17" s="61">
        <f>IF(I17="Hydraulic",(T17*'DR-Hyd'!$O$34)/S17,(T17*'DR-Mech'!$O$34)/S17)+5</f>
        <v>19.221610773333332</v>
      </c>
      <c r="W17" s="61">
        <f>IF(I17="Hydraulic",(Overhead!$F$39/S17)+((Overhead!$D$39/Table!G17)/S17),(Overhead!$K$39/S17)+((Overhead!I51/Table!G17)/S17))</f>
        <v>1.7440032793444673</v>
      </c>
      <c r="X17" s="61">
        <f t="shared" si="8"/>
        <v>1</v>
      </c>
      <c r="Y17" s="61">
        <f>IF(H17="Upland",0,(IF(I17="Mechanical",(T17*'DR-Mech'!$O$24+'DR-Mech'!$O$34)/S17,(T17*'DR-Hyd'!$O$24+'DR-Hyd'!$O$34)/S17)))</f>
        <v>0</v>
      </c>
      <c r="Z17" s="301">
        <f t="shared" si="9"/>
        <v>37.219041333988272</v>
      </c>
      <c r="AA17" s="301">
        <f t="shared" si="10"/>
        <v>42.801897534086507</v>
      </c>
      <c r="AB17" s="302" t="str">
        <f t="shared" si="11"/>
        <v>High</v>
      </c>
      <c r="AC17" s="303">
        <f t="shared" si="12"/>
        <v>6.9559228650137736E-2</v>
      </c>
      <c r="AD17" s="404">
        <f t="shared" si="13"/>
        <v>7741.1577583569242</v>
      </c>
      <c r="AE17" s="61">
        <f t="shared" si="14"/>
        <v>0.74438082667976546</v>
      </c>
      <c r="AF17" s="61">
        <f t="shared" si="15"/>
        <v>0.89325699201571851</v>
      </c>
      <c r="AG17" s="61">
        <f t="shared" si="16"/>
        <v>1.1165712400196481</v>
      </c>
      <c r="AH17" s="301">
        <f t="shared" si="17"/>
        <v>2.7542090587151322</v>
      </c>
      <c r="AI17" s="301">
        <f t="shared" si="18"/>
        <v>3.1673404175224018</v>
      </c>
      <c r="AJ17" s="310">
        <f t="shared" si="19"/>
        <v>39.973250392703406</v>
      </c>
      <c r="AK17" s="311">
        <f t="shared" si="20"/>
        <v>45.96923795160891</v>
      </c>
      <c r="AL17" s="43"/>
      <c r="AM17" s="15">
        <v>1212</v>
      </c>
      <c r="AN17" s="15"/>
      <c r="AO17" s="52">
        <v>100</v>
      </c>
      <c r="AP17" s="5">
        <f t="shared" si="22"/>
        <v>50</v>
      </c>
      <c r="AQ17" s="12"/>
      <c r="AR17" s="12"/>
      <c r="AS17" s="10"/>
      <c r="AT17" s="11"/>
      <c r="AU17" s="10"/>
      <c r="AV17" s="11"/>
      <c r="AW17" s="11"/>
      <c r="AX17" s="11"/>
      <c r="AY17" s="11"/>
      <c r="AZ17" s="11"/>
      <c r="BA17" s="12"/>
      <c r="BB17" s="12" t="s">
        <v>180</v>
      </c>
      <c r="BC17" s="12" t="s">
        <v>181</v>
      </c>
      <c r="BD17" s="12" t="s">
        <v>182</v>
      </c>
      <c r="BE17" s="12" t="s">
        <v>79</v>
      </c>
      <c r="BF17" s="10"/>
      <c r="BG17" s="10" t="s">
        <v>28</v>
      </c>
      <c r="BH17" s="12"/>
      <c r="BI17" s="10"/>
      <c r="BJ17" s="10" t="s">
        <v>180</v>
      </c>
      <c r="BK17" s="13" t="s">
        <v>14</v>
      </c>
      <c r="BL17" t="s">
        <v>370</v>
      </c>
      <c r="BM17">
        <v>1</v>
      </c>
      <c r="BN17">
        <v>1</v>
      </c>
      <c r="BO17" t="s">
        <v>91</v>
      </c>
      <c r="BP17" t="s">
        <v>375</v>
      </c>
      <c r="BQ17" t="s">
        <v>370</v>
      </c>
      <c r="BR17" t="s">
        <v>219</v>
      </c>
      <c r="BS17"/>
    </row>
    <row r="18" spans="1:76" x14ac:dyDescent="0.25">
      <c r="B18" s="42" t="s">
        <v>300</v>
      </c>
      <c r="C18" t="s">
        <v>370</v>
      </c>
      <c r="D18" t="str">
        <f t="shared" si="0"/>
        <v>8-Private</v>
      </c>
      <c r="E18" t="s">
        <v>650</v>
      </c>
      <c r="F18">
        <v>1</v>
      </c>
      <c r="G18">
        <f t="shared" si="1"/>
        <v>16</v>
      </c>
      <c r="H18" s="248" t="s">
        <v>423</v>
      </c>
      <c r="I18" s="248" t="s">
        <v>427</v>
      </c>
      <c r="J18" s="248" t="s">
        <v>586</v>
      </c>
      <c r="K18" s="61">
        <f t="shared" si="2"/>
        <v>0.598446210997015</v>
      </c>
      <c r="L18" s="60">
        <f>IF(I18="Mechanical",(('Mob-Mech'!$E$47+'Demob-Mech'!$E$42)/G18),(('Mob-Hyd'!$E$47+'Demob-Hyd'!$E$42)/G18))</f>
        <v>42161.870759819998</v>
      </c>
      <c r="M18" s="56">
        <f t="shared" si="3"/>
        <v>-4.5985714285714296</v>
      </c>
      <c r="N18" s="56">
        <f t="shared" si="4"/>
        <v>4.5985714285714296</v>
      </c>
      <c r="O18" t="str">
        <f t="shared" si="5"/>
        <v>Averaged</v>
      </c>
      <c r="P18" s="58">
        <f t="shared" si="6"/>
        <v>13732.340861904768</v>
      </c>
      <c r="Q18" s="249">
        <v>1.1000000000000001</v>
      </c>
      <c r="R18" s="58">
        <f t="shared" si="7"/>
        <v>15105.574948095245</v>
      </c>
      <c r="S18" s="58">
        <f>R18*'PrismQC Vols'!$G$14</f>
        <v>1019.8543278494351</v>
      </c>
      <c r="T18" s="282">
        <f>IF(I18="Mechanical",S18/Prod!$D$21,S18/Prod!$D$11)</f>
        <v>1.5540637376753297</v>
      </c>
      <c r="U18" s="61">
        <f>IF(I18="Hydraulic",(T18*('DR-Hyd'!$O$13+'DR-Hyd'!$O$18+'DR-Hyd'!$O$24)/S18),(T18*('DR-Mech'!$O$13+'DR-Mech'!$O$18+'DR-Mech'!$O$24)/S18))</f>
        <v>15.253427281310476</v>
      </c>
      <c r="V18" s="61">
        <f>IF(I18="Hydraulic",(T18*'DR-Hyd'!$O$34)/S18,(T18*'DR-Mech'!$O$34)/S18)+5</f>
        <v>19.221610773333335</v>
      </c>
      <c r="W18" s="61">
        <f>IF(I18="Hydraulic",(Overhead!$F$39/S18)+((Overhead!$D$39/Table!G18)/S18),(Overhead!$K$39/S18)+((Overhead!I52/Table!G18)/S18))</f>
        <v>1.6724610761454559</v>
      </c>
      <c r="X18" s="61">
        <f t="shared" si="8"/>
        <v>1</v>
      </c>
      <c r="Y18" s="61">
        <f>IF(H18="Upland",0,(IF(I18="Mechanical",(T18*'DR-Mech'!$O$24+'DR-Mech'!$O$34)/S18,(T18*'DR-Hyd'!$O$24+'DR-Hyd'!$O$34)/S18)))</f>
        <v>0</v>
      </c>
      <c r="Z18" s="301">
        <f t="shared" si="9"/>
        <v>37.147499130789264</v>
      </c>
      <c r="AA18" s="301">
        <f t="shared" si="10"/>
        <v>42.719624000407649</v>
      </c>
      <c r="AB18" s="302" t="str">
        <f t="shared" si="11"/>
        <v>Moderate</v>
      </c>
      <c r="AC18" s="303">
        <f t="shared" si="12"/>
        <v>3.1697658402203857E-2</v>
      </c>
      <c r="AD18" s="404">
        <f t="shared" si="13"/>
        <v>3527.5919388948264</v>
      </c>
      <c r="AE18" s="61">
        <f t="shared" si="14"/>
        <v>0.74294998261578526</v>
      </c>
      <c r="AF18" s="61">
        <f t="shared" si="15"/>
        <v>0.89153997913894234</v>
      </c>
      <c r="AG18" s="61">
        <f t="shared" si="16"/>
        <v>1.1144249739236778</v>
      </c>
      <c r="AH18" s="301">
        <f t="shared" si="17"/>
        <v>2.7489149356784055</v>
      </c>
      <c r="AI18" s="301">
        <f t="shared" si="18"/>
        <v>3.1612521760301662</v>
      </c>
      <c r="AJ18" s="310">
        <f t="shared" si="19"/>
        <v>39.896414066467671</v>
      </c>
      <c r="AK18" s="311">
        <f t="shared" si="20"/>
        <v>45.880876176437816</v>
      </c>
      <c r="AL18" s="42" t="s">
        <v>300</v>
      </c>
      <c r="AM18" s="14">
        <v>1841</v>
      </c>
      <c r="AN18" s="14"/>
      <c r="AO18" s="4">
        <v>60</v>
      </c>
      <c r="AP18" s="5">
        <f t="shared" si="22"/>
        <v>30</v>
      </c>
      <c r="AQ18" s="6" t="s">
        <v>298</v>
      </c>
      <c r="AR18" s="6" t="s">
        <v>301</v>
      </c>
      <c r="AS18" s="3" t="s">
        <v>8</v>
      </c>
      <c r="AT18" s="4">
        <v>-5.4</v>
      </c>
      <c r="AU18" s="3"/>
      <c r="AV18" s="4"/>
      <c r="AW18" s="4"/>
      <c r="AX18" s="4"/>
      <c r="AY18" s="4"/>
      <c r="AZ18" s="4"/>
      <c r="BA18" s="6"/>
      <c r="BB18" s="6"/>
      <c r="BC18" s="6" t="s">
        <v>26</v>
      </c>
      <c r="BD18" s="6" t="s">
        <v>302</v>
      </c>
      <c r="BE18" s="6" t="s">
        <v>303</v>
      </c>
      <c r="BF18" s="3" t="s">
        <v>20</v>
      </c>
      <c r="BG18" s="3" t="s">
        <v>13</v>
      </c>
      <c r="BH18" s="6"/>
      <c r="BI18" s="3"/>
      <c r="BJ18" s="3"/>
      <c r="BK18" s="7" t="s">
        <v>14</v>
      </c>
      <c r="BL18" t="s">
        <v>370</v>
      </c>
      <c r="BM18">
        <v>1</v>
      </c>
      <c r="BN18">
        <v>1</v>
      </c>
      <c r="BO18" t="s">
        <v>91</v>
      </c>
      <c r="BP18" t="s">
        <v>372</v>
      </c>
      <c r="BQ18" t="s">
        <v>370</v>
      </c>
      <c r="BR18" t="s">
        <v>219</v>
      </c>
      <c r="BS18"/>
    </row>
    <row r="19" spans="1:76" x14ac:dyDescent="0.25">
      <c r="B19" s="42" t="s">
        <v>304</v>
      </c>
      <c r="C19" t="s">
        <v>370</v>
      </c>
      <c r="D19" t="str">
        <f t="shared" si="0"/>
        <v>9-Private</v>
      </c>
      <c r="E19" t="s">
        <v>650</v>
      </c>
      <c r="F19">
        <v>1</v>
      </c>
      <c r="G19">
        <f t="shared" si="1"/>
        <v>16</v>
      </c>
      <c r="H19" s="248" t="s">
        <v>423</v>
      </c>
      <c r="I19" s="248" t="s">
        <v>427</v>
      </c>
      <c r="J19" s="248" t="s">
        <v>586</v>
      </c>
      <c r="K19" s="61">
        <f t="shared" si="2"/>
        <v>0.60676130818347307</v>
      </c>
      <c r="L19" s="60">
        <f>IF(I19="Mechanical",(('Mob-Mech'!$E$47+'Demob-Mech'!$E$42)/G19),(('Mob-Hyd'!$E$47+'Demob-Hyd'!$E$42)/G19))</f>
        <v>42161.870759819998</v>
      </c>
      <c r="M19" s="56">
        <f t="shared" si="3"/>
        <v>-4.5985714285714296</v>
      </c>
      <c r="N19" s="56">
        <f t="shared" si="4"/>
        <v>4.5985714285714296</v>
      </c>
      <c r="O19" t="str">
        <f t="shared" si="5"/>
        <v>Averaged</v>
      </c>
      <c r="P19" s="58">
        <f t="shared" si="6"/>
        <v>10493.804719274382</v>
      </c>
      <c r="Q19" s="249">
        <v>1.1000000000000001</v>
      </c>
      <c r="R19" s="58">
        <f t="shared" si="7"/>
        <v>11543.185191201821</v>
      </c>
      <c r="S19" s="58">
        <f>R19*'PrismQC Vols'!$G$14</f>
        <v>779.33924493877919</v>
      </c>
      <c r="T19" s="282">
        <f>IF(I19="Mechanical",S19/Prod!$D$21,S19/Prod!$D$11)</f>
        <v>1.1875645637162349</v>
      </c>
      <c r="U19" s="61">
        <f>IF(I19="Hydraulic",(T19*('DR-Hyd'!$O$13+'DR-Hyd'!$O$18+'DR-Hyd'!$O$24)/S19),(T19*('DR-Mech'!$O$13+'DR-Mech'!$O$18+'DR-Mech'!$O$24)/S19))</f>
        <v>15.253427281310476</v>
      </c>
      <c r="V19" s="61">
        <f>IF(I19="Hydraulic",(T19*'DR-Hyd'!$O$34)/S19,(T19*'DR-Mech'!$O$34)/S19)+5</f>
        <v>19.221610773333332</v>
      </c>
      <c r="W19" s="61">
        <f>IF(I19="Hydraulic",(Overhead!$F$39/S19)+((Overhead!$D$39/Table!G19)/S19),(Overhead!$K$39/S19)+((Overhead!I53/Table!G19)/S19))</f>
        <v>2.1886061528964258</v>
      </c>
      <c r="X19" s="61">
        <f t="shared" si="8"/>
        <v>1</v>
      </c>
      <c r="Y19" s="61">
        <f>IF(H19="Upland",0,(IF(I19="Mechanical",(T19*'DR-Mech'!$O$24+'DR-Mech'!$O$34)/S19,(T19*'DR-Hyd'!$O$24+'DR-Hyd'!$O$34)/S19)))</f>
        <v>0</v>
      </c>
      <c r="Z19" s="301">
        <f t="shared" si="9"/>
        <v>37.66364420754023</v>
      </c>
      <c r="AA19" s="301">
        <f t="shared" si="10"/>
        <v>43.313190838671261</v>
      </c>
      <c r="AB19" s="302" t="str">
        <f t="shared" si="11"/>
        <v>Moderate</v>
      </c>
      <c r="AC19" s="303">
        <f t="shared" si="12"/>
        <v>2.3547979797979797E-2</v>
      </c>
      <c r="AD19" s="404">
        <f t="shared" si="13"/>
        <v>2620.6246107705001</v>
      </c>
      <c r="AE19" s="61">
        <f t="shared" si="14"/>
        <v>0.75327288415080462</v>
      </c>
      <c r="AF19" s="61">
        <f t="shared" si="15"/>
        <v>0.90392746098096555</v>
      </c>
      <c r="AG19" s="61">
        <f t="shared" si="16"/>
        <v>1.1299093262262068</v>
      </c>
      <c r="AH19" s="301">
        <f t="shared" si="17"/>
        <v>2.7871096713579773</v>
      </c>
      <c r="AI19" s="301">
        <f t="shared" si="18"/>
        <v>3.2051761220616735</v>
      </c>
      <c r="AJ19" s="310">
        <f t="shared" si="19"/>
        <v>40.450753878898205</v>
      </c>
      <c r="AK19" s="311">
        <f t="shared" si="20"/>
        <v>46.518366960732934</v>
      </c>
      <c r="AL19" s="42" t="s">
        <v>304</v>
      </c>
      <c r="AM19" s="14">
        <v>1492</v>
      </c>
      <c r="AN19" s="14"/>
      <c r="AO19" s="4">
        <v>55</v>
      </c>
      <c r="AP19" s="5">
        <f t="shared" si="22"/>
        <v>27.5</v>
      </c>
      <c r="AQ19" s="6" t="s">
        <v>301</v>
      </c>
      <c r="AR19" s="6" t="s">
        <v>305</v>
      </c>
      <c r="AS19" s="3" t="s">
        <v>8</v>
      </c>
      <c r="AT19" s="4">
        <v>-5.4</v>
      </c>
      <c r="AU19" s="3"/>
      <c r="AV19" s="4"/>
      <c r="AW19" s="4"/>
      <c r="AX19" s="4"/>
      <c r="AY19" s="4"/>
      <c r="AZ19" s="4"/>
      <c r="BA19" s="6"/>
      <c r="BB19" s="6"/>
      <c r="BC19" s="6" t="s">
        <v>10</v>
      </c>
      <c r="BD19" s="6" t="s">
        <v>306</v>
      </c>
      <c r="BE19" s="6" t="s">
        <v>20</v>
      </c>
      <c r="BF19" s="3" t="s">
        <v>12</v>
      </c>
      <c r="BG19" s="3" t="s">
        <v>13</v>
      </c>
      <c r="BH19" s="6"/>
      <c r="BI19" s="3"/>
      <c r="BJ19" s="3"/>
      <c r="BK19" s="7" t="s">
        <v>14</v>
      </c>
      <c r="BL19" t="s">
        <v>370</v>
      </c>
      <c r="BM19">
        <v>1</v>
      </c>
      <c r="BN19">
        <v>1</v>
      </c>
      <c r="BO19" t="s">
        <v>91</v>
      </c>
      <c r="BP19" t="s">
        <v>372</v>
      </c>
      <c r="BQ19" t="s">
        <v>370</v>
      </c>
      <c r="BR19" t="s">
        <v>219</v>
      </c>
      <c r="BS19"/>
    </row>
    <row r="20" spans="1:76" hidden="1" x14ac:dyDescent="0.25">
      <c r="B20" s="42" t="s">
        <v>309</v>
      </c>
      <c r="C20" t="s">
        <v>370</v>
      </c>
      <c r="D20" t="str">
        <f t="shared" si="0"/>
        <v>11-Private</v>
      </c>
      <c r="E20" t="s">
        <v>650</v>
      </c>
      <c r="F20">
        <v>2</v>
      </c>
      <c r="G20">
        <f t="shared" si="1"/>
        <v>18</v>
      </c>
      <c r="H20" s="248" t="s">
        <v>423</v>
      </c>
      <c r="I20" s="248" t="s">
        <v>427</v>
      </c>
      <c r="J20" s="248" t="s">
        <v>586</v>
      </c>
      <c r="K20" s="61">
        <f t="shared" si="2"/>
        <v>0.58723341339428348</v>
      </c>
      <c r="L20" s="60">
        <f>IF(I20="Mechanical",(('Mob-Mech'!$E$47+'Demob-Mech'!$E$42)/G20),(('Mob-Hyd'!$E$47+'Demob-Hyd'!$E$42)/G20))</f>
        <v>37477.218453173329</v>
      </c>
      <c r="M20" s="56">
        <f t="shared" si="3"/>
        <v>-4.5985714285714296</v>
      </c>
      <c r="N20" s="56">
        <f t="shared" si="4"/>
        <v>4.5985714285714296</v>
      </c>
      <c r="O20" t="str">
        <f t="shared" si="5"/>
        <v>Averaged</v>
      </c>
      <c r="P20" s="58">
        <f t="shared" si="6"/>
        <v>23520.806963038558</v>
      </c>
      <c r="Q20" s="249">
        <v>1.1000000000000001</v>
      </c>
      <c r="R20" s="58">
        <f t="shared" si="7"/>
        <v>25872.887659342417</v>
      </c>
      <c r="S20" s="58">
        <f>R20*'PrismQC Vols'!$G$14</f>
        <v>1746.8104685859607</v>
      </c>
      <c r="T20" s="282">
        <f>IF(I20="Mechanical",S20/Prod!$D$21,S20/Prod!$D$11)</f>
        <v>2.661806428321464</v>
      </c>
      <c r="U20" s="61">
        <f>IF(I20="Hydraulic",(T20*('DR-Hyd'!$O$13+'DR-Hyd'!$O$18+'DR-Hyd'!$O$24)/S20),(T20*('DR-Mech'!$O$13+'DR-Mech'!$O$18+'DR-Mech'!$O$24)/S20))</f>
        <v>15.253427281310477</v>
      </c>
      <c r="V20" s="61">
        <f>IF(I20="Hydraulic",(T20*'DR-Hyd'!$O$34)/S20,(T20*'DR-Mech'!$O$34)/S20)+5</f>
        <v>19.221610773333335</v>
      </c>
      <c r="W20" s="61">
        <f>IF(I20="Hydraulic",(Overhead!$F$39/S20)+((Overhead!$D$39/Table!G20)/S20),(Overhead!$K$39/S20)+((Overhead!I54/Table!G20)/S20))</f>
        <v>0.97644632737253989</v>
      </c>
      <c r="X20" s="61">
        <f t="shared" si="8"/>
        <v>1</v>
      </c>
      <c r="Y20" s="61">
        <f>IF(H20="Upland",0,(IF(I20="Mechanical",(T20*'DR-Mech'!$O$24+'DR-Mech'!$O$34)/S20,(T20*'DR-Hyd'!$O$24+'DR-Hyd'!$O$34)/S20)))</f>
        <v>0</v>
      </c>
      <c r="Z20" s="301">
        <f t="shared" si="9"/>
        <v>36.451484382016353</v>
      </c>
      <c r="AA20" s="301">
        <f t="shared" si="10"/>
        <v>41.919207039318806</v>
      </c>
      <c r="AB20" s="302" t="str">
        <f t="shared" si="11"/>
        <v>High</v>
      </c>
      <c r="AC20" s="303">
        <f t="shared" si="12"/>
        <v>0.12784377869605143</v>
      </c>
      <c r="AD20" s="404">
        <f t="shared" si="13"/>
        <v>14227.570927910865</v>
      </c>
      <c r="AE20" s="61">
        <f t="shared" si="14"/>
        <v>0.72902968764032705</v>
      </c>
      <c r="AF20" s="61">
        <f t="shared" si="15"/>
        <v>0.87483562516839253</v>
      </c>
      <c r="AG20" s="61">
        <f t="shared" si="16"/>
        <v>1.0935445314604906</v>
      </c>
      <c r="AH20" s="301">
        <f t="shared" si="17"/>
        <v>2.6974098442692105</v>
      </c>
      <c r="AI20" s="301">
        <f t="shared" si="18"/>
        <v>3.1020213209095919</v>
      </c>
      <c r="AJ20" s="310">
        <f t="shared" si="19"/>
        <v>39.148894226285563</v>
      </c>
      <c r="AK20" s="311">
        <f t="shared" si="20"/>
        <v>45.021228360228392</v>
      </c>
      <c r="AL20" s="42" t="s">
        <v>309</v>
      </c>
      <c r="AM20" s="14">
        <v>1937</v>
      </c>
      <c r="AN20" s="14"/>
      <c r="AO20" s="8">
        <v>115</v>
      </c>
      <c r="AP20" s="5">
        <f t="shared" si="22"/>
        <v>57.5</v>
      </c>
      <c r="AQ20" s="6" t="s">
        <v>310</v>
      </c>
      <c r="AR20" s="6" t="s">
        <v>311</v>
      </c>
      <c r="AS20" s="3" t="s">
        <v>51</v>
      </c>
      <c r="AT20" s="4"/>
      <c r="AU20" s="3"/>
      <c r="AV20" s="4"/>
      <c r="AW20" s="4"/>
      <c r="AX20" s="4"/>
      <c r="AY20" s="4"/>
      <c r="AZ20" s="4"/>
      <c r="BA20" s="6" t="s">
        <v>9</v>
      </c>
      <c r="BB20" s="6" t="s">
        <v>219</v>
      </c>
      <c r="BC20" s="6"/>
      <c r="BD20" s="6"/>
      <c r="BE20" s="6"/>
      <c r="BF20" s="3"/>
      <c r="BG20" s="3" t="s">
        <v>28</v>
      </c>
      <c r="BH20" s="6"/>
      <c r="BI20" s="3"/>
      <c r="BJ20" s="3"/>
      <c r="BK20" s="7" t="s">
        <v>14</v>
      </c>
      <c r="BL20" t="s">
        <v>370</v>
      </c>
      <c r="BM20">
        <v>2</v>
      </c>
      <c r="BN20">
        <v>1</v>
      </c>
      <c r="BO20" t="s">
        <v>374</v>
      </c>
      <c r="BP20" t="s">
        <v>375</v>
      </c>
      <c r="BQ20" t="s">
        <v>373</v>
      </c>
      <c r="BR20" t="s">
        <v>376</v>
      </c>
      <c r="BS20"/>
    </row>
    <row r="21" spans="1:76" ht="45" hidden="1" x14ac:dyDescent="0.25">
      <c r="A21" s="46" t="s">
        <v>397</v>
      </c>
      <c r="B21" s="48" t="s">
        <v>183</v>
      </c>
      <c r="C21" t="s">
        <v>378</v>
      </c>
      <c r="D21" t="str">
        <f t="shared" si="0"/>
        <v>11A-Access</v>
      </c>
      <c r="E21" t="s">
        <v>651</v>
      </c>
      <c r="F21">
        <v>2</v>
      </c>
      <c r="G21">
        <f t="shared" si="1"/>
        <v>18</v>
      </c>
      <c r="H21" s="248" t="s">
        <v>423</v>
      </c>
      <c r="I21" s="248" t="s">
        <v>427</v>
      </c>
      <c r="J21" s="248" t="s">
        <v>586</v>
      </c>
      <c r="K21" s="61">
        <f t="shared" si="2"/>
        <v>0.63499647688408911</v>
      </c>
      <c r="L21" s="60">
        <f>IF(I21="Mechanical",(('Mob-Mech'!$E$47+'Demob-Mech'!$E$42)/G21),(('Mob-Hyd'!$E$47+'Demob-Hyd'!$E$42)/G21))</f>
        <v>37477.218453173329</v>
      </c>
      <c r="M21" s="56">
        <f t="shared" si="3"/>
        <v>-4.5985714285714296</v>
      </c>
      <c r="N21" s="56">
        <f t="shared" si="4"/>
        <v>4.5985714285714296</v>
      </c>
      <c r="O21" t="str">
        <f t="shared" si="5"/>
        <v>Averaged</v>
      </c>
      <c r="P21" s="58">
        <f t="shared" si="6"/>
        <v>5827.2827068027227</v>
      </c>
      <c r="Q21" s="249">
        <v>1.1000000000000001</v>
      </c>
      <c r="R21" s="58">
        <f t="shared" si="7"/>
        <v>6410.0109774829953</v>
      </c>
      <c r="S21" s="58">
        <f>R21*'PrismQC Vols'!$G$14</f>
        <v>432.77250018032225</v>
      </c>
      <c r="T21" s="282">
        <f>IF(I21="Mechanical",S21/Prod!$D$21,S21/Prod!$D$11)</f>
        <v>0.65946285741763389</v>
      </c>
      <c r="U21" s="61">
        <f>IF(I21="Hydraulic",(T21*('DR-Hyd'!$O$13+'DR-Hyd'!$O$18+'DR-Hyd'!$O$24)/S21),(T21*('DR-Mech'!$O$13+'DR-Mech'!$O$18+'DR-Mech'!$O$24)/S21))</f>
        <v>15.253427281310477</v>
      </c>
      <c r="V21" s="61">
        <f>IF(I21="Hydraulic",(T21*'DR-Hyd'!$O$34)/S21,(T21*'DR-Mech'!$O$34)/S21)+5</f>
        <v>19.221610773333332</v>
      </c>
      <c r="W21" s="61">
        <f>IF(I21="Hydraulic",(Overhead!$F$39/S21)+((Overhead!$D$39/Table!G22)/S21),(Overhead!$K$39/S21)+((Overhead!I56/Table!G22)/S21))</f>
        <v>3.9412547376646407</v>
      </c>
      <c r="X21" s="61">
        <f t="shared" si="8"/>
        <v>1</v>
      </c>
      <c r="Y21" s="61">
        <f>IF(H21="Upland",0,(IF(I21="Mechanical",(T21*'DR-Mech'!$O$24+'DR-Mech'!$O$34)/S21,(T21*'DR-Hyd'!$O$24+'DR-Hyd'!$O$34)/S21)))</f>
        <v>0</v>
      </c>
      <c r="Z21" s="301">
        <f t="shared" si="9"/>
        <v>39.416292792308454</v>
      </c>
      <c r="AA21" s="301">
        <f t="shared" si="10"/>
        <v>45.328736711154718</v>
      </c>
      <c r="AB21" s="302">
        <f t="shared" si="11"/>
        <v>0</v>
      </c>
      <c r="AC21" s="303">
        <f t="shared" si="12"/>
        <v>1.4355199724517907E-2</v>
      </c>
      <c r="AD21" s="404">
        <f t="shared" si="13"/>
        <v>1597.5718517401203</v>
      </c>
      <c r="AE21" s="61">
        <f t="shared" si="14"/>
        <v>0.7883258558461691</v>
      </c>
      <c r="AF21" s="61">
        <f t="shared" si="15"/>
        <v>0.94599102701540294</v>
      </c>
      <c r="AG21" s="61">
        <f t="shared" si="16"/>
        <v>1.1824887837692535</v>
      </c>
      <c r="AH21" s="301">
        <f t="shared" si="17"/>
        <v>2.9168056666308253</v>
      </c>
      <c r="AI21" s="301">
        <f t="shared" si="18"/>
        <v>3.354326516625449</v>
      </c>
      <c r="AJ21" s="310">
        <f t="shared" si="19"/>
        <v>42.333098458939276</v>
      </c>
      <c r="AK21" s="311">
        <f t="shared" si="20"/>
        <v>48.68306322778016</v>
      </c>
      <c r="AL21" s="48"/>
      <c r="AM21" s="30">
        <v>667</v>
      </c>
      <c r="AN21" s="30"/>
      <c r="AO21" s="30"/>
      <c r="AP21" s="8">
        <v>37.5</v>
      </c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46"/>
      <c r="BI21" s="30"/>
      <c r="BJ21" s="30"/>
      <c r="BK21" s="53"/>
      <c r="BL21" s="49" t="s">
        <v>378</v>
      </c>
      <c r="BM21" s="49">
        <v>2</v>
      </c>
      <c r="BN21" s="49">
        <v>1</v>
      </c>
      <c r="BO21" s="49" t="s">
        <v>91</v>
      </c>
      <c r="BP21" s="49" t="s">
        <v>373</v>
      </c>
      <c r="BQ21" s="49" t="s">
        <v>373</v>
      </c>
      <c r="BR21" s="49" t="s">
        <v>377</v>
      </c>
      <c r="BS21" s="49"/>
      <c r="BT21" s="27"/>
      <c r="BU21" s="27"/>
      <c r="BV21" s="27"/>
      <c r="BW21" s="27"/>
      <c r="BX21" s="27"/>
    </row>
    <row r="22" spans="1:76" ht="45" hidden="1" x14ac:dyDescent="0.25">
      <c r="A22" s="46" t="s">
        <v>397</v>
      </c>
      <c r="B22" s="41" t="s">
        <v>183</v>
      </c>
      <c r="C22" t="s">
        <v>370</v>
      </c>
      <c r="D22" t="str">
        <f t="shared" si="0"/>
        <v>11A-Private</v>
      </c>
      <c r="E22" t="s">
        <v>650</v>
      </c>
      <c r="F22">
        <v>2</v>
      </c>
      <c r="G22">
        <f t="shared" si="1"/>
        <v>18</v>
      </c>
      <c r="H22" s="248" t="s">
        <v>423</v>
      </c>
      <c r="I22" s="248" t="s">
        <v>427</v>
      </c>
      <c r="J22" s="248" t="s">
        <v>586</v>
      </c>
      <c r="K22" s="61">
        <f t="shared" si="2"/>
        <v>0.58776399121318823</v>
      </c>
      <c r="L22" s="60">
        <f>IF(I22="Mechanical",(('Mob-Mech'!$E$47+'Demob-Mech'!$E$42)/G22),(('Mob-Hyd'!$E$47+'Demob-Hyd'!$E$42)/G22))</f>
        <v>37477.218453173329</v>
      </c>
      <c r="M22" s="56">
        <f t="shared" si="3"/>
        <v>-4.5985714285714296</v>
      </c>
      <c r="N22" s="56">
        <f t="shared" si="4"/>
        <v>4.5985714285714296</v>
      </c>
      <c r="O22" t="str">
        <f t="shared" si="5"/>
        <v>Averaged</v>
      </c>
      <c r="P22" s="58">
        <f t="shared" si="6"/>
        <v>22753.356000226766</v>
      </c>
      <c r="Q22" s="249">
        <v>1.1000000000000001</v>
      </c>
      <c r="R22" s="58">
        <f t="shared" si="7"/>
        <v>25028.691600249444</v>
      </c>
      <c r="S22" s="58">
        <f>R22*'PrismQC Vols'!$G$14</f>
        <v>1689.8144914465424</v>
      </c>
      <c r="T22" s="282">
        <f>IF(I22="Mechanical",S22/Prod!$D$21,S22/Prod!$D$11)</f>
        <v>2.5749554155375884</v>
      </c>
      <c r="U22" s="61">
        <f>IF(I22="Hydraulic",(T22*('DR-Hyd'!$O$13+'DR-Hyd'!$O$18+'DR-Hyd'!$O$24)/S22),(T22*('DR-Mech'!$O$13+'DR-Mech'!$O$18+'DR-Mech'!$O$24)/S22))</f>
        <v>15.253427281310476</v>
      </c>
      <c r="V22" s="61">
        <f>IF(I22="Hydraulic",(T22*'DR-Hyd'!$O$34)/S22,(T22*'DR-Mech'!$O$34)/S22)+5</f>
        <v>19.221610773333335</v>
      </c>
      <c r="W22" s="61">
        <f>IF(I22="Hydraulic",(Overhead!$F$39/S22)+((Overhead!$D$39/Table!G21)/S22),(Overhead!$K$39/S22)+((Overhead!I55/Table!G21)/S22))</f>
        <v>1.0093810150761309</v>
      </c>
      <c r="X22" s="61">
        <f t="shared" si="8"/>
        <v>1</v>
      </c>
      <c r="Y22" s="61">
        <f>IF(H22="Upland",0,(IF(I22="Mechanical",(T22*'DR-Mech'!$O$24+'DR-Mech'!$O$34)/S22,(T22*'DR-Hyd'!$O$24+'DR-Hyd'!$O$34)/S22)))</f>
        <v>0</v>
      </c>
      <c r="Z22" s="301">
        <f t="shared" si="9"/>
        <v>36.484419069719941</v>
      </c>
      <c r="AA22" s="301">
        <f t="shared" si="10"/>
        <v>41.957081930177928</v>
      </c>
      <c r="AB22" s="302" t="str">
        <f t="shared" si="11"/>
        <v>High</v>
      </c>
      <c r="AC22" s="303">
        <f t="shared" si="12"/>
        <v>0.12561696510560147</v>
      </c>
      <c r="AD22" s="404">
        <f t="shared" si="13"/>
        <v>13979.751686141683</v>
      </c>
      <c r="AE22" s="61">
        <f t="shared" si="14"/>
        <v>0.72968838139439884</v>
      </c>
      <c r="AF22" s="61">
        <f t="shared" si="15"/>
        <v>0.87562605767327861</v>
      </c>
      <c r="AG22" s="61">
        <f t="shared" si="16"/>
        <v>1.0945325720915982</v>
      </c>
      <c r="AH22" s="301">
        <f t="shared" si="17"/>
        <v>2.6998470111592754</v>
      </c>
      <c r="AI22" s="301">
        <f t="shared" si="18"/>
        <v>3.1048240628331665</v>
      </c>
      <c r="AJ22" s="310">
        <f t="shared" si="19"/>
        <v>39.184266080879219</v>
      </c>
      <c r="AK22" s="311">
        <f t="shared" si="20"/>
        <v>45.061905993011095</v>
      </c>
      <c r="AL22" s="41" t="s">
        <v>184</v>
      </c>
      <c r="AM22" s="29">
        <v>1751</v>
      </c>
      <c r="AN22" s="29"/>
      <c r="AO22" s="30">
        <v>125</v>
      </c>
      <c r="AP22" s="30">
        <f t="shared" ref="AP22:AP29" si="23">0.5*AO22</f>
        <v>62.5</v>
      </c>
      <c r="AQ22" s="31" t="s">
        <v>185</v>
      </c>
      <c r="AR22" s="31" t="s">
        <v>186</v>
      </c>
      <c r="AS22" s="28" t="s">
        <v>8</v>
      </c>
      <c r="AT22" s="30">
        <v>-5.4</v>
      </c>
      <c r="AU22" s="28"/>
      <c r="AV22" s="30"/>
      <c r="AW22" s="30"/>
      <c r="AX22" s="30"/>
      <c r="AY22" s="30"/>
      <c r="AZ22" s="30"/>
      <c r="BA22" s="31"/>
      <c r="BB22" s="31"/>
      <c r="BC22" s="31" t="s">
        <v>85</v>
      </c>
      <c r="BD22" s="31" t="s">
        <v>187</v>
      </c>
      <c r="BE22" s="31" t="s">
        <v>134</v>
      </c>
      <c r="BF22" s="28"/>
      <c r="BG22" s="28" t="s">
        <v>28</v>
      </c>
      <c r="BH22" s="31"/>
      <c r="BI22" s="28"/>
      <c r="BJ22" s="28"/>
      <c r="BK22" s="32" t="s">
        <v>14</v>
      </c>
      <c r="BL22" s="49" t="s">
        <v>370</v>
      </c>
      <c r="BM22" s="49">
        <v>2</v>
      </c>
      <c r="BN22" s="49">
        <v>1</v>
      </c>
      <c r="BO22" s="49" t="s">
        <v>91</v>
      </c>
      <c r="BP22" s="49" t="s">
        <v>373</v>
      </c>
      <c r="BQ22" s="49" t="s">
        <v>373</v>
      </c>
      <c r="BR22" s="49" t="s">
        <v>377</v>
      </c>
      <c r="BS22" s="49"/>
      <c r="BT22" s="27"/>
      <c r="BU22" s="27"/>
      <c r="BV22" s="27"/>
      <c r="BW22" s="27"/>
      <c r="BX22" s="27"/>
    </row>
    <row r="23" spans="1:76" ht="30" hidden="1" x14ac:dyDescent="0.25">
      <c r="B23" s="42" t="s">
        <v>190</v>
      </c>
      <c r="C23" t="s">
        <v>676</v>
      </c>
      <c r="D23" t="str">
        <f t="shared" si="0"/>
        <v>11B-Private.1</v>
      </c>
      <c r="E23" t="s">
        <v>650</v>
      </c>
      <c r="F23">
        <v>2</v>
      </c>
      <c r="G23">
        <f t="shared" si="1"/>
        <v>18</v>
      </c>
      <c r="H23" s="248" t="s">
        <v>423</v>
      </c>
      <c r="I23" s="248" t="s">
        <v>427</v>
      </c>
      <c r="J23" s="248" t="s">
        <v>586</v>
      </c>
      <c r="K23" s="61">
        <f t="shared" si="2"/>
        <v>0.6220401427983302</v>
      </c>
      <c r="L23" s="60">
        <f>IF(I23="Mechanical",(('Mob-Mech'!$E$47+'Demob-Mech'!$E$42)/G23),(('Mob-Hyd'!$E$47+'Demob-Hyd'!$E$42)/G23))</f>
        <v>37477.218453173329</v>
      </c>
      <c r="M23" s="56">
        <f t="shared" si="3"/>
        <v>-4.5985714285714296</v>
      </c>
      <c r="N23" s="56">
        <f t="shared" si="4"/>
        <v>4.5985714285714296</v>
      </c>
      <c r="O23" t="str">
        <f t="shared" si="5"/>
        <v>Averaged</v>
      </c>
      <c r="P23" s="58">
        <f t="shared" si="6"/>
        <v>7321.2337455782335</v>
      </c>
      <c r="Q23" s="249">
        <v>1.1000000000000001</v>
      </c>
      <c r="R23" s="58">
        <f t="shared" si="7"/>
        <v>8053.3571201360573</v>
      </c>
      <c r="S23" s="58">
        <f>R23*'PrismQC Vols'!$G$14</f>
        <v>543.72317114109455</v>
      </c>
      <c r="T23" s="282">
        <f>IF(I23="Mechanical",S23/Prod!$D$21,S23/Prod!$D$11)</f>
        <v>0.82853054650071556</v>
      </c>
      <c r="U23" s="61">
        <f>IF(I23="Hydraulic",(T23*('DR-Hyd'!$O$13+'DR-Hyd'!$O$18+'DR-Hyd'!$O$24)/S23),(T23*('DR-Mech'!$O$13+'DR-Mech'!$O$18+'DR-Mech'!$O$24)/S23))</f>
        <v>15.253427281310477</v>
      </c>
      <c r="V23" s="61">
        <f>IF(I23="Hydraulic",(T23*'DR-Hyd'!$O$34)/S23,(T23*'DR-Mech'!$O$34)/S23)+5</f>
        <v>19.221610773333335</v>
      </c>
      <c r="W23" s="61">
        <f>IF(I23="Hydraulic",(Overhead!$F$39/S23)+((Overhead!$D$39/Table!G23)/S23),(Overhead!$K$39/S23)+((Overhead!I57/Table!G23)/S23))</f>
        <v>3.1370130191197081</v>
      </c>
      <c r="X23" s="61">
        <f t="shared" si="8"/>
        <v>1</v>
      </c>
      <c r="Y23" s="61">
        <f>IF(H23="Upland",0,(IF(I23="Mechanical",(T23*'DR-Mech'!$O$24+'DR-Mech'!$O$34)/S23,(T23*'DR-Hyd'!$O$24+'DR-Hyd'!$O$34)/S23)))</f>
        <v>0</v>
      </c>
      <c r="Z23" s="301">
        <f t="shared" si="9"/>
        <v>38.612051073763517</v>
      </c>
      <c r="AA23" s="301">
        <f t="shared" si="10"/>
        <v>44.403858734828042</v>
      </c>
      <c r="AB23" s="302" t="str">
        <f t="shared" si="11"/>
        <v>Moderate</v>
      </c>
      <c r="AC23" s="303">
        <f t="shared" si="12"/>
        <v>1.8035468319559229E-2</v>
      </c>
      <c r="AD23" s="404">
        <f t="shared" si="13"/>
        <v>2007.1442455145739</v>
      </c>
      <c r="AE23" s="61">
        <f t="shared" si="14"/>
        <v>0.77224102147527041</v>
      </c>
      <c r="AF23" s="61">
        <f t="shared" si="15"/>
        <v>0.92668922577032442</v>
      </c>
      <c r="AG23" s="61">
        <f t="shared" si="16"/>
        <v>1.1583615322129055</v>
      </c>
      <c r="AH23" s="301">
        <f t="shared" si="17"/>
        <v>2.8572917794585004</v>
      </c>
      <c r="AI23" s="301">
        <f t="shared" si="18"/>
        <v>3.2858855463772754</v>
      </c>
      <c r="AJ23" s="310">
        <f t="shared" si="19"/>
        <v>41.469342853222017</v>
      </c>
      <c r="AK23" s="311">
        <f t="shared" si="20"/>
        <v>47.689744281205314</v>
      </c>
      <c r="AL23" s="42"/>
      <c r="AM23" s="14">
        <v>838</v>
      </c>
      <c r="AN23" s="14"/>
      <c r="AO23" s="4">
        <v>75</v>
      </c>
      <c r="AP23" s="5">
        <f t="shared" si="23"/>
        <v>37.5</v>
      </c>
      <c r="AQ23" s="6"/>
      <c r="AR23" s="6"/>
      <c r="AS23" s="3"/>
      <c r="AT23" s="4"/>
      <c r="AU23" s="3"/>
      <c r="AV23" s="4"/>
      <c r="AW23" s="4"/>
      <c r="AX23" s="4"/>
      <c r="AY23" s="4"/>
      <c r="AZ23" s="4"/>
      <c r="BA23" s="6"/>
      <c r="BB23" s="6"/>
      <c r="BC23" s="6"/>
      <c r="BD23" s="6"/>
      <c r="BE23" s="6" t="s">
        <v>40</v>
      </c>
      <c r="BF23" s="3"/>
      <c r="BG23" s="3" t="s">
        <v>13</v>
      </c>
      <c r="BH23" s="6"/>
      <c r="BI23" s="3"/>
      <c r="BJ23" s="3"/>
      <c r="BK23" s="7" t="s">
        <v>14</v>
      </c>
      <c r="BL23" t="s">
        <v>370</v>
      </c>
      <c r="BM23">
        <v>2</v>
      </c>
      <c r="BN23"/>
      <c r="BO23" t="s">
        <v>91</v>
      </c>
      <c r="BP23" t="s">
        <v>372</v>
      </c>
      <c r="BQ23" t="s">
        <v>43</v>
      </c>
      <c r="BR23" t="s">
        <v>219</v>
      </c>
      <c r="BS23"/>
    </row>
    <row r="24" spans="1:76" ht="30" hidden="1" x14ac:dyDescent="0.25">
      <c r="B24" s="42" t="s">
        <v>190</v>
      </c>
      <c r="C24" t="s">
        <v>370</v>
      </c>
      <c r="D24" t="str">
        <f t="shared" si="0"/>
        <v>11B-Private</v>
      </c>
      <c r="E24" t="s">
        <v>650</v>
      </c>
      <c r="F24">
        <v>2</v>
      </c>
      <c r="G24">
        <f t="shared" si="1"/>
        <v>18</v>
      </c>
      <c r="H24" s="248" t="s">
        <v>423</v>
      </c>
      <c r="I24" s="248" t="s">
        <v>427</v>
      </c>
      <c r="J24" s="248" t="s">
        <v>586</v>
      </c>
      <c r="K24" s="61">
        <f t="shared" si="2"/>
        <v>0.70272694652981094</v>
      </c>
      <c r="L24" s="60">
        <f>IF(I24="Mechanical",(('Mob-Mech'!$E$47+'Demob-Mech'!$E$42)/G24),(('Mob-Hyd'!$E$47+'Demob-Hyd'!$E$42)/G24))</f>
        <v>37477.218453173329</v>
      </c>
      <c r="M24" s="56">
        <f t="shared" si="3"/>
        <v>-4.5985714285714296</v>
      </c>
      <c r="N24" s="56">
        <f t="shared" si="4"/>
        <v>4.5985714285714296</v>
      </c>
      <c r="O24" t="str">
        <f t="shared" si="5"/>
        <v>Averaged</v>
      </c>
      <c r="P24" s="58">
        <f t="shared" si="6"/>
        <v>2819.5680857142866</v>
      </c>
      <c r="Q24" s="249">
        <v>1.1000000000000001</v>
      </c>
      <c r="R24" s="58">
        <f t="shared" si="7"/>
        <v>3101.5248942857156</v>
      </c>
      <c r="S24" s="58">
        <f>R24*'PrismQC Vols'!$G$14</f>
        <v>209.39974792345816</v>
      </c>
      <c r="T24" s="282">
        <f>IF(I24="Mechanical",S24/Prod!$D$21,S24/Prod!$D$11)</f>
        <v>0.31908533016907908</v>
      </c>
      <c r="U24" s="61">
        <f>IF(I24="Hydraulic",(T24*('DR-Hyd'!$O$13+'DR-Hyd'!$O$18+'DR-Hyd'!$O$24)/S24),(T24*('DR-Mech'!$O$13+'DR-Mech'!$O$18+'DR-Mech'!$O$24)/S24))</f>
        <v>15.253427281310476</v>
      </c>
      <c r="V24" s="61">
        <f>IF(I24="Hydraulic",(T24*'DR-Hyd'!$O$34)/S24,(T24*'DR-Mech'!$O$34)/S24)+5</f>
        <v>19.221610773333332</v>
      </c>
      <c r="W24" s="61">
        <f>IF(I24="Hydraulic",(Overhead!$F$39/S24)+((Overhead!$D$39/Table!G24)/S24),(Overhead!$K$39/S24)+((Overhead!I58/Table!G24)/S24))</f>
        <v>8.1455048708565716</v>
      </c>
      <c r="X24" s="61">
        <f t="shared" si="8"/>
        <v>1</v>
      </c>
      <c r="Y24" s="61">
        <f>IF(H24="Upland",0,(IF(I24="Mechanical",(T24*'DR-Mech'!$O$24+'DR-Mech'!$O$34)/S24,(T24*'DR-Hyd'!$O$24+'DR-Hyd'!$O$34)/S24)))</f>
        <v>0</v>
      </c>
      <c r="Z24" s="301">
        <f t="shared" si="9"/>
        <v>43.620542925500374</v>
      </c>
      <c r="AA24" s="301">
        <f t="shared" si="10"/>
        <v>50.163624364325429</v>
      </c>
      <c r="AB24" s="302" t="str">
        <f t="shared" si="11"/>
        <v>Moderate</v>
      </c>
      <c r="AC24" s="303">
        <f t="shared" si="12"/>
        <v>6.5082644628099177E-3</v>
      </c>
      <c r="AD24" s="404">
        <f t="shared" si="13"/>
        <v>724.29644372745486</v>
      </c>
      <c r="AE24" s="61">
        <f t="shared" si="14"/>
        <v>0.87241085851000744</v>
      </c>
      <c r="AF24" s="61">
        <f t="shared" si="15"/>
        <v>1.046893030212009</v>
      </c>
      <c r="AG24" s="61">
        <f t="shared" si="16"/>
        <v>1.3086162877650112</v>
      </c>
      <c r="AH24" s="301">
        <f t="shared" si="17"/>
        <v>3.2279201764870278</v>
      </c>
      <c r="AI24" s="301">
        <f t="shared" si="18"/>
        <v>3.7121082029600818</v>
      </c>
      <c r="AJ24" s="310">
        <f t="shared" si="19"/>
        <v>46.848463101987399</v>
      </c>
      <c r="AK24" s="311">
        <f t="shared" si="20"/>
        <v>53.875732567285503</v>
      </c>
      <c r="AL24" s="42"/>
      <c r="AM24" s="14">
        <v>378</v>
      </c>
      <c r="AN24" s="14"/>
      <c r="AO24" s="4">
        <v>60</v>
      </c>
      <c r="AP24" s="5">
        <f t="shared" si="23"/>
        <v>30</v>
      </c>
      <c r="AQ24" s="6"/>
      <c r="AR24" s="6"/>
      <c r="AS24" s="3"/>
      <c r="AT24" s="4"/>
      <c r="AU24" s="3"/>
      <c r="AV24" s="4"/>
      <c r="AW24" s="4"/>
      <c r="AX24" s="4"/>
      <c r="AY24" s="4"/>
      <c r="AZ24" s="4"/>
      <c r="BA24" s="6"/>
      <c r="BB24" s="6"/>
      <c r="BC24" s="6"/>
      <c r="BD24" s="6"/>
      <c r="BE24" s="6" t="s">
        <v>40</v>
      </c>
      <c r="BF24" s="3"/>
      <c r="BG24" s="3" t="s">
        <v>13</v>
      </c>
      <c r="BH24" s="6"/>
      <c r="BI24" s="3"/>
      <c r="BJ24" s="3"/>
      <c r="BK24" s="7" t="s">
        <v>14</v>
      </c>
      <c r="BL24" t="s">
        <v>370</v>
      </c>
      <c r="BM24">
        <v>2</v>
      </c>
      <c r="BN24"/>
      <c r="BO24" t="s">
        <v>374</v>
      </c>
      <c r="BP24" t="s">
        <v>372</v>
      </c>
      <c r="BQ24" t="s">
        <v>43</v>
      </c>
      <c r="BR24" t="s">
        <v>219</v>
      </c>
      <c r="BS24"/>
      <c r="BT24" s="22"/>
      <c r="BU24" s="22"/>
      <c r="BV24" s="22"/>
      <c r="BW24" s="22"/>
      <c r="BX24" s="22"/>
    </row>
    <row r="25" spans="1:76" hidden="1" x14ac:dyDescent="0.25">
      <c r="B25" s="42" t="s">
        <v>249</v>
      </c>
      <c r="C25" t="s">
        <v>370</v>
      </c>
      <c r="D25" t="str">
        <f t="shared" si="0"/>
        <v>11C-Private</v>
      </c>
      <c r="E25" t="s">
        <v>650</v>
      </c>
      <c r="F25">
        <v>2</v>
      </c>
      <c r="G25">
        <f t="shared" si="1"/>
        <v>18</v>
      </c>
      <c r="H25" s="248" t="s">
        <v>423</v>
      </c>
      <c r="I25" s="248" t="s">
        <v>427</v>
      </c>
      <c r="J25" s="248" t="s">
        <v>586</v>
      </c>
      <c r="K25" s="61">
        <f t="shared" si="2"/>
        <v>0.61455244853471136</v>
      </c>
      <c r="L25" s="60">
        <f>IF(I25="Mechanical",(('Mob-Mech'!$E$47+'Demob-Mech'!$E$42)/G25),(('Mob-Hyd'!$E$47+'Demob-Hyd'!$E$42)/G25))</f>
        <v>37477.218453173329</v>
      </c>
      <c r="M25" s="56">
        <f t="shared" si="3"/>
        <v>-4.5985714285714296</v>
      </c>
      <c r="N25" s="56">
        <f t="shared" si="4"/>
        <v>4.5985714285714296</v>
      </c>
      <c r="O25" t="str">
        <f t="shared" si="5"/>
        <v>Averaged</v>
      </c>
      <c r="P25" s="58">
        <f t="shared" si="6"/>
        <v>8594.6295126984151</v>
      </c>
      <c r="Q25" s="249">
        <v>1.1000000000000001</v>
      </c>
      <c r="R25" s="58">
        <f t="shared" si="7"/>
        <v>9454.092463968258</v>
      </c>
      <c r="S25" s="58">
        <f>R25*'PrismQC Vols'!$G$14</f>
        <v>638.29395096825169</v>
      </c>
      <c r="T25" s="282">
        <f>IF(I25="Mechanical",S25/Prod!$D$21,S25/Prod!$D$11)</f>
        <v>0.97263840147543112</v>
      </c>
      <c r="U25" s="61">
        <f>IF(I25="Hydraulic",(T25*('DR-Hyd'!$O$13+'DR-Hyd'!$O$18+'DR-Hyd'!$O$24)/S25),(T25*('DR-Mech'!$O$13+'DR-Mech'!$O$18+'DR-Mech'!$O$24)/S25))</f>
        <v>15.253427281310477</v>
      </c>
      <c r="V25" s="61">
        <f>IF(I25="Hydraulic",(T25*'DR-Hyd'!$O$34)/S25,(T25*'DR-Mech'!$O$34)/S25)+5</f>
        <v>19.221610773333332</v>
      </c>
      <c r="W25" s="61">
        <f>IF(I25="Hydraulic",(Overhead!$F$39/S25)+((Overhead!$D$39/Table!G25)/S25),(Overhead!$K$39/S25)+((Overhead!I59/Table!G25)/S25))</f>
        <v>2.6722275278956942</v>
      </c>
      <c r="X25" s="61">
        <f t="shared" si="8"/>
        <v>1</v>
      </c>
      <c r="Y25" s="61">
        <f>IF(H25="Upland",0,(IF(I25="Mechanical",(T25*'DR-Mech'!$O$24+'DR-Mech'!$O$34)/S25,(T25*'DR-Hyd'!$O$24+'DR-Hyd'!$O$34)/S25)))</f>
        <v>0</v>
      </c>
      <c r="Z25" s="301">
        <f t="shared" si="9"/>
        <v>38.147265582539504</v>
      </c>
      <c r="AA25" s="301">
        <f t="shared" si="10"/>
        <v>43.869355419920424</v>
      </c>
      <c r="AB25" s="302" t="str">
        <f t="shared" si="11"/>
        <v>High</v>
      </c>
      <c r="AC25" s="303">
        <f t="shared" si="12"/>
        <v>4.5397153351698805E-2</v>
      </c>
      <c r="AD25" s="404">
        <f t="shared" si="13"/>
        <v>5052.1912432840982</v>
      </c>
      <c r="AE25" s="61">
        <f t="shared" si="14"/>
        <v>0.76294531165079005</v>
      </c>
      <c r="AF25" s="61">
        <f t="shared" si="15"/>
        <v>0.91553437398094806</v>
      </c>
      <c r="AG25" s="61">
        <f t="shared" si="16"/>
        <v>1.144417967476185</v>
      </c>
      <c r="AH25" s="301">
        <f t="shared" si="17"/>
        <v>2.8228976531079231</v>
      </c>
      <c r="AI25" s="301">
        <f t="shared" si="18"/>
        <v>3.2463323010741112</v>
      </c>
      <c r="AJ25" s="310">
        <f t="shared" si="19"/>
        <v>40.970163235647426</v>
      </c>
      <c r="AK25" s="311">
        <f t="shared" si="20"/>
        <v>47.115687720994536</v>
      </c>
      <c r="AL25" s="42"/>
      <c r="AM25" s="14">
        <v>791</v>
      </c>
      <c r="AN25" s="14"/>
      <c r="AO25" s="8">
        <v>100</v>
      </c>
      <c r="AP25" s="5">
        <f t="shared" si="23"/>
        <v>50</v>
      </c>
      <c r="AQ25" s="6"/>
      <c r="AR25" s="6"/>
      <c r="AS25" s="3"/>
      <c r="AT25" s="4"/>
      <c r="AU25" s="3"/>
      <c r="AV25" s="4"/>
      <c r="AW25" s="4"/>
      <c r="AX25" s="4"/>
      <c r="AY25" s="4"/>
      <c r="AZ25" s="4"/>
      <c r="BA25" s="6"/>
      <c r="BB25" s="6" t="s">
        <v>250</v>
      </c>
      <c r="BC25" s="6" t="s">
        <v>10</v>
      </c>
      <c r="BD25" s="6" t="s">
        <v>251</v>
      </c>
      <c r="BE25" s="6" t="s">
        <v>134</v>
      </c>
      <c r="BF25" s="3"/>
      <c r="BG25" s="3" t="s">
        <v>28</v>
      </c>
      <c r="BH25" s="6"/>
      <c r="BI25" s="3"/>
      <c r="BJ25" s="3"/>
      <c r="BK25" s="7" t="s">
        <v>14</v>
      </c>
      <c r="BL25" t="s">
        <v>370</v>
      </c>
      <c r="BM25">
        <v>2</v>
      </c>
      <c r="BN25"/>
      <c r="BO25" t="s">
        <v>91</v>
      </c>
      <c r="BP25" t="s">
        <v>372</v>
      </c>
      <c r="BQ25" t="s">
        <v>43</v>
      </c>
      <c r="BR25" t="s">
        <v>219</v>
      </c>
      <c r="BS25"/>
    </row>
    <row r="26" spans="1:76" ht="30" hidden="1" x14ac:dyDescent="0.25">
      <c r="B26" s="42" t="s">
        <v>312</v>
      </c>
      <c r="C26" t="s">
        <v>370</v>
      </c>
      <c r="D26" t="str">
        <f t="shared" si="0"/>
        <v>12-Private</v>
      </c>
      <c r="E26" t="s">
        <v>650</v>
      </c>
      <c r="F26">
        <v>2</v>
      </c>
      <c r="G26">
        <f t="shared" si="1"/>
        <v>18</v>
      </c>
      <c r="H26" s="248" t="s">
        <v>423</v>
      </c>
      <c r="I26" s="248" t="s">
        <v>427</v>
      </c>
      <c r="J26" s="248" t="s">
        <v>586</v>
      </c>
      <c r="K26" s="61">
        <f t="shared" si="2"/>
        <v>0.59090583862170787</v>
      </c>
      <c r="L26" s="60">
        <f>IF(I26="Mechanical",(('Mob-Mech'!$E$47+'Demob-Mech'!$E$42)/G26),(('Mob-Hyd'!$E$47+'Demob-Hyd'!$E$42)/G26))</f>
        <v>37477.218453173329</v>
      </c>
      <c r="M26" s="56">
        <f t="shared" si="3"/>
        <v>-4.5985714285714296</v>
      </c>
      <c r="N26" s="56">
        <f t="shared" si="4"/>
        <v>4.5985714285714296</v>
      </c>
      <c r="O26" t="str">
        <f t="shared" si="5"/>
        <v>Averaged</v>
      </c>
      <c r="P26" s="58">
        <f t="shared" si="6"/>
        <v>19068.994683673474</v>
      </c>
      <c r="Q26" s="249">
        <v>1.1000000000000001</v>
      </c>
      <c r="R26" s="58">
        <f t="shared" si="7"/>
        <v>20975.894152040823</v>
      </c>
      <c r="S26" s="58">
        <f>R26*'PrismQC Vols'!$G$14</f>
        <v>1416.1894866615444</v>
      </c>
      <c r="T26" s="282">
        <f>IF(I26="Mechanical",S26/Prod!$D$21,S26/Prod!$D$11)</f>
        <v>2.1580030272937818</v>
      </c>
      <c r="U26" s="61">
        <f>IF(I26="Hydraulic",(T26*('DR-Hyd'!$O$13+'DR-Hyd'!$O$18+'DR-Hyd'!$O$24)/S26),(T26*('DR-Mech'!$O$13+'DR-Mech'!$O$18+'DR-Mech'!$O$24)/S26))</f>
        <v>15.253427281310476</v>
      </c>
      <c r="V26" s="61">
        <f>IF(I26="Hydraulic",(T26*'DR-Hyd'!$O$34)/S26,(T26*'DR-Mech'!$O$34)/S26)+5</f>
        <v>19.221610773333335</v>
      </c>
      <c r="W26" s="61">
        <f>IF(I26="Hydraulic",(Overhead!$F$39/S26)+((Overhead!$D$39/Table!G26)/S26),(Overhead!$K$39/S26)+((Overhead!I60/Table!G26)/S26))</f>
        <v>1.2044056835131023</v>
      </c>
      <c r="X26" s="61">
        <f t="shared" si="8"/>
        <v>1</v>
      </c>
      <c r="Y26" s="61">
        <f>IF(H26="Upland",0,(IF(I26="Mechanical",(T26*'DR-Mech'!$O$24+'DR-Mech'!$O$34)/S26,(T26*'DR-Hyd'!$O$24+'DR-Hyd'!$O$34)/S26)))</f>
        <v>0</v>
      </c>
      <c r="Z26" s="301">
        <f t="shared" si="9"/>
        <v>36.679443738156913</v>
      </c>
      <c r="AA26" s="301">
        <f t="shared" si="10"/>
        <v>42.181360298880449</v>
      </c>
      <c r="AB26" s="302" t="str">
        <f t="shared" si="11"/>
        <v>Moderate</v>
      </c>
      <c r="AC26" s="303">
        <f t="shared" si="12"/>
        <v>5.0361570247933883E-2</v>
      </c>
      <c r="AD26" s="404">
        <f t="shared" si="13"/>
        <v>5604.6748621767338</v>
      </c>
      <c r="AE26" s="61">
        <f t="shared" si="14"/>
        <v>0.73358887476313828</v>
      </c>
      <c r="AF26" s="61">
        <f t="shared" si="15"/>
        <v>0.88030664971576589</v>
      </c>
      <c r="AG26" s="61">
        <f t="shared" si="16"/>
        <v>1.1003833121447073</v>
      </c>
      <c r="AH26" s="301">
        <f t="shared" si="17"/>
        <v>2.7142788366236115</v>
      </c>
      <c r="AI26" s="301">
        <f t="shared" si="18"/>
        <v>3.1214206621171527</v>
      </c>
      <c r="AJ26" s="310">
        <f t="shared" si="19"/>
        <v>39.393722574780526</v>
      </c>
      <c r="AK26" s="311">
        <f t="shared" si="20"/>
        <v>45.302780960997602</v>
      </c>
      <c r="AL26" s="42" t="s">
        <v>312</v>
      </c>
      <c r="AM26" s="14">
        <v>1755</v>
      </c>
      <c r="AN26" s="14"/>
      <c r="AO26" s="4">
        <v>100</v>
      </c>
      <c r="AP26" s="5">
        <f t="shared" si="23"/>
        <v>50</v>
      </c>
      <c r="AQ26" s="6" t="s">
        <v>311</v>
      </c>
      <c r="AR26" s="6" t="s">
        <v>6</v>
      </c>
      <c r="AS26" s="3" t="s">
        <v>8</v>
      </c>
      <c r="AT26" s="4">
        <v>-5.4</v>
      </c>
      <c r="AU26" s="3"/>
      <c r="AV26" s="4"/>
      <c r="AW26" s="4"/>
      <c r="AX26" s="4"/>
      <c r="AY26" s="4"/>
      <c r="AZ26" s="4"/>
      <c r="BA26" s="6" t="s">
        <v>9</v>
      </c>
      <c r="BB26" s="6"/>
      <c r="BC26" s="6" t="s">
        <v>10</v>
      </c>
      <c r="BD26" s="6" t="s">
        <v>313</v>
      </c>
      <c r="BE26" s="6" t="s">
        <v>20</v>
      </c>
      <c r="BF26" s="3"/>
      <c r="BG26" s="3" t="s">
        <v>13</v>
      </c>
      <c r="BH26" s="6"/>
      <c r="BI26" s="3"/>
      <c r="BJ26" s="3"/>
      <c r="BK26" s="7" t="s">
        <v>14</v>
      </c>
      <c r="BL26" t="s">
        <v>370</v>
      </c>
      <c r="BM26">
        <v>2</v>
      </c>
      <c r="BN26">
        <v>1</v>
      </c>
      <c r="BO26" t="s">
        <v>374</v>
      </c>
      <c r="BP26" t="s">
        <v>373</v>
      </c>
      <c r="BQ26" t="s">
        <v>370</v>
      </c>
      <c r="BR26" t="s">
        <v>379</v>
      </c>
      <c r="BS26"/>
    </row>
    <row r="27" spans="1:76" ht="30" hidden="1" x14ac:dyDescent="0.25">
      <c r="B27" s="42" t="s">
        <v>5</v>
      </c>
      <c r="C27" t="s">
        <v>370</v>
      </c>
      <c r="D27" t="str">
        <f t="shared" si="0"/>
        <v>13-Private</v>
      </c>
      <c r="E27" t="s">
        <v>650</v>
      </c>
      <c r="F27">
        <v>2</v>
      </c>
      <c r="G27">
        <f t="shared" si="1"/>
        <v>18</v>
      </c>
      <c r="H27" s="248" t="s">
        <v>423</v>
      </c>
      <c r="I27" s="248" t="s">
        <v>427</v>
      </c>
      <c r="J27" s="248" t="s">
        <v>586</v>
      </c>
      <c r="K27" s="61">
        <f t="shared" si="2"/>
        <v>0.5937823899739948</v>
      </c>
      <c r="L27" s="60">
        <f>IF(I27="Mechanical",(('Mob-Mech'!$E$47+'Demob-Mech'!$E$42)/G27),(('Mob-Hyd'!$E$47+'Demob-Hyd'!$E$42)/G27))</f>
        <v>37477.218453173329</v>
      </c>
      <c r="M27" s="56">
        <f t="shared" si="3"/>
        <v>-4.5985714285714296</v>
      </c>
      <c r="N27" s="56">
        <f t="shared" si="4"/>
        <v>4.5985714285714296</v>
      </c>
      <c r="O27" t="str">
        <f t="shared" si="5"/>
        <v>Averaged</v>
      </c>
      <c r="P27" s="58">
        <f t="shared" si="6"/>
        <v>16606.961146938782</v>
      </c>
      <c r="Q27" s="249">
        <v>1.1000000000000001</v>
      </c>
      <c r="R27" s="58">
        <f t="shared" si="7"/>
        <v>18267.657261632663</v>
      </c>
      <c r="S27" s="58">
        <f>R27*'PrismQC Vols'!$G$14</f>
        <v>1233.3426156874252</v>
      </c>
      <c r="T27" s="282">
        <f>IF(I27="Mechanical",S27/Prod!$D$21,S27/Prod!$D$11)</f>
        <v>1.8793792239046481</v>
      </c>
      <c r="U27" s="61">
        <f>IF(I27="Hydraulic",(T27*('DR-Hyd'!$O$13+'DR-Hyd'!$O$18+'DR-Hyd'!$O$24)/S27),(T27*('DR-Mech'!$O$13+'DR-Mech'!$O$18+'DR-Mech'!$O$24)/S27))</f>
        <v>15.253427281310479</v>
      </c>
      <c r="V27" s="61">
        <f>IF(I27="Hydraulic",(T27*'DR-Hyd'!$O$34)/S27,(T27*'DR-Mech'!$O$34)/S27)+5</f>
        <v>19.221610773333335</v>
      </c>
      <c r="W27" s="61">
        <f>IF(I27="Hydraulic",(Overhead!$F$39/S27)+((Overhead!$D$39/Table!G27)/S27),(Overhead!$K$39/S27)+((Overhead!I61/Table!G27)/S27))</f>
        <v>1.3829625644744168</v>
      </c>
      <c r="X27" s="61">
        <f t="shared" si="8"/>
        <v>1</v>
      </c>
      <c r="Y27" s="61">
        <f>IF(H27="Upland",0,(IF(I27="Mechanical",(T27*'DR-Mech'!$O$24+'DR-Mech'!$O$34)/S27,(T27*'DR-Hyd'!$O$24+'DR-Hyd'!$O$34)/S27)))</f>
        <v>0</v>
      </c>
      <c r="Z27" s="301">
        <f t="shared" si="9"/>
        <v>36.858000619118236</v>
      </c>
      <c r="AA27" s="301">
        <f t="shared" si="10"/>
        <v>42.386700711985966</v>
      </c>
      <c r="AB27" s="302" t="str">
        <f t="shared" si="11"/>
        <v>Moderate</v>
      </c>
      <c r="AC27" s="303">
        <f t="shared" si="12"/>
        <v>4.5841942148760334E-2</v>
      </c>
      <c r="AD27" s="404">
        <f t="shared" si="13"/>
        <v>5101.6912206993347</v>
      </c>
      <c r="AE27" s="61">
        <f t="shared" si="14"/>
        <v>0.73716001238236473</v>
      </c>
      <c r="AF27" s="61">
        <f t="shared" si="15"/>
        <v>0.88459201485883765</v>
      </c>
      <c r="AG27" s="61">
        <f t="shared" si="16"/>
        <v>1.1057400185735471</v>
      </c>
      <c r="AH27" s="301">
        <f t="shared" si="17"/>
        <v>2.7274920458147496</v>
      </c>
      <c r="AI27" s="301">
        <f t="shared" si="18"/>
        <v>3.1366158526869619</v>
      </c>
      <c r="AJ27" s="310">
        <f t="shared" si="19"/>
        <v>39.585492664932985</v>
      </c>
      <c r="AK27" s="311">
        <f t="shared" si="20"/>
        <v>45.523316564672932</v>
      </c>
      <c r="AL27" s="42" t="s">
        <v>5</v>
      </c>
      <c r="AM27" s="14">
        <v>1278</v>
      </c>
      <c r="AN27" s="14"/>
      <c r="AO27" s="9">
        <v>125</v>
      </c>
      <c r="AP27" s="5">
        <f t="shared" si="23"/>
        <v>62.5</v>
      </c>
      <c r="AQ27" s="6" t="s">
        <v>6</v>
      </c>
      <c r="AR27" s="6" t="s">
        <v>7</v>
      </c>
      <c r="AS27" s="3" t="s">
        <v>8</v>
      </c>
      <c r="AT27" s="4">
        <v>-5.4</v>
      </c>
      <c r="AU27" s="3"/>
      <c r="AV27" s="4"/>
      <c r="AW27" s="4"/>
      <c r="AX27" s="4"/>
      <c r="AY27" s="4"/>
      <c r="AZ27" s="4"/>
      <c r="BA27" s="6" t="s">
        <v>9</v>
      </c>
      <c r="BB27" s="6"/>
      <c r="BC27" s="6" t="s">
        <v>10</v>
      </c>
      <c r="BD27" s="6" t="s">
        <v>11</v>
      </c>
      <c r="BE27" s="6" t="s">
        <v>12</v>
      </c>
      <c r="BF27" s="3"/>
      <c r="BG27" s="3" t="s">
        <v>13</v>
      </c>
      <c r="BH27" s="6"/>
      <c r="BI27" s="3"/>
      <c r="BJ27" s="3"/>
      <c r="BK27" s="7" t="s">
        <v>14</v>
      </c>
      <c r="BL27" t="s">
        <v>370</v>
      </c>
      <c r="BM27">
        <v>2</v>
      </c>
      <c r="BN27">
        <v>1</v>
      </c>
      <c r="BO27" t="s">
        <v>374</v>
      </c>
      <c r="BP27" t="s">
        <v>372</v>
      </c>
      <c r="BQ27" t="s">
        <v>373</v>
      </c>
      <c r="BR27" t="s">
        <v>219</v>
      </c>
      <c r="BS27"/>
      <c r="BT27" s="22"/>
      <c r="BU27" s="22"/>
      <c r="BV27" s="22"/>
      <c r="BW27" s="22"/>
      <c r="BX27" s="22"/>
    </row>
    <row r="28" spans="1:76" s="38" customFormat="1" ht="30" hidden="1" x14ac:dyDescent="0.25">
      <c r="A28" s="24"/>
      <c r="B28" s="42" t="s">
        <v>15</v>
      </c>
      <c r="C28" t="s">
        <v>370</v>
      </c>
      <c r="D28" t="str">
        <f t="shared" si="0"/>
        <v>14-Private</v>
      </c>
      <c r="E28" t="s">
        <v>650</v>
      </c>
      <c r="F28">
        <v>2</v>
      </c>
      <c r="G28">
        <f t="shared" si="1"/>
        <v>18</v>
      </c>
      <c r="H28" s="248" t="s">
        <v>423</v>
      </c>
      <c r="I28" s="248" t="s">
        <v>427</v>
      </c>
      <c r="J28" s="248" t="s">
        <v>586</v>
      </c>
      <c r="K28" s="61">
        <f t="shared" si="2"/>
        <v>0.58983072423502314</v>
      </c>
      <c r="L28" s="60">
        <f>IF(I28="Mechanical",(('Mob-Mech'!$E$47+'Demob-Mech'!$E$42)/G28),(('Mob-Hyd'!$E$47+'Demob-Hyd'!$E$42)/G28))</f>
        <v>37477.218453173329</v>
      </c>
      <c r="M28" s="56">
        <f t="shared" si="3"/>
        <v>-4.5985714285714296</v>
      </c>
      <c r="N28" s="56">
        <f t="shared" si="4"/>
        <v>4.5985714285714296</v>
      </c>
      <c r="O28" t="str">
        <f t="shared" si="5"/>
        <v>Averaged</v>
      </c>
      <c r="P28" s="58">
        <f t="shared" si="6"/>
        <v>20187.584044897969</v>
      </c>
      <c r="Q28" s="249">
        <v>1.1000000000000001</v>
      </c>
      <c r="R28" s="58">
        <f t="shared" si="7"/>
        <v>22206.342449387768</v>
      </c>
      <c r="S28" s="58">
        <f>R28*'PrismQC Vols'!$G$14</f>
        <v>1499.2633203657349</v>
      </c>
      <c r="T28" s="282">
        <f>IF(I28="Mechanical",S28/Prod!$D$21,S28/Prod!$D$11)</f>
        <v>2.284591726271596</v>
      </c>
      <c r="U28" s="61">
        <f>IF(I28="Hydraulic",(T28*('DR-Hyd'!$O$13+'DR-Hyd'!$O$18+'DR-Hyd'!$O$24)/S28),(T28*('DR-Mech'!$O$13+'DR-Mech'!$O$18+'DR-Mech'!$O$24)/S28))</f>
        <v>15.253427281310477</v>
      </c>
      <c r="V28" s="61">
        <f>IF(I28="Hydraulic",(T28*'DR-Hyd'!$O$34)/S28,(T28*'DR-Mech'!$O$34)/S28)+5</f>
        <v>19.221610773333335</v>
      </c>
      <c r="W28" s="61">
        <f>IF(I28="Hydraulic",(Overhead!$F$39/S28)+((Overhead!$D$39/Table!G28)/S28),(Overhead!$K$39/S28)+((Overhead!I62/Table!G28)/S28))</f>
        <v>1.1376698432471364</v>
      </c>
      <c r="X28" s="61">
        <f t="shared" si="8"/>
        <v>1</v>
      </c>
      <c r="Y28" s="61">
        <f>IF(H28="Upland",0,(IF(I28="Mechanical",(T28*'DR-Mech'!$O$24+'DR-Mech'!$O$34)/S28,(T28*'DR-Hyd'!$O$24+'DR-Hyd'!$O$34)/S28)))</f>
        <v>0</v>
      </c>
      <c r="Z28" s="301">
        <f t="shared" si="9"/>
        <v>36.612707897890949</v>
      </c>
      <c r="AA28" s="301">
        <f t="shared" si="10"/>
        <v>42.104614082574585</v>
      </c>
      <c r="AB28" s="302" t="str">
        <f t="shared" si="11"/>
        <v>Moderate</v>
      </c>
      <c r="AC28" s="303">
        <f t="shared" si="12"/>
        <v>5.6482438016528927E-2</v>
      </c>
      <c r="AD28" s="404">
        <f t="shared" si="13"/>
        <v>6285.8584223489834</v>
      </c>
      <c r="AE28" s="61">
        <f t="shared" si="14"/>
        <v>0.73225415795781901</v>
      </c>
      <c r="AF28" s="61">
        <f t="shared" si="15"/>
        <v>0.87870498954938281</v>
      </c>
      <c r="AG28" s="61">
        <f t="shared" si="16"/>
        <v>1.0983812369367285</v>
      </c>
      <c r="AH28" s="301">
        <f t="shared" si="17"/>
        <v>2.7093403844439301</v>
      </c>
      <c r="AI28" s="301">
        <f t="shared" si="18"/>
        <v>3.1157414421105192</v>
      </c>
      <c r="AJ28" s="310">
        <f t="shared" si="19"/>
        <v>39.322048282334876</v>
      </c>
      <c r="AK28" s="311">
        <f t="shared" si="20"/>
        <v>45.220355524685104</v>
      </c>
      <c r="AL28" s="42" t="s">
        <v>15</v>
      </c>
      <c r="AM28" s="14">
        <v>1458</v>
      </c>
      <c r="AN28" s="14"/>
      <c r="AO28" s="4">
        <v>135</v>
      </c>
      <c r="AP28" s="5">
        <f t="shared" si="23"/>
        <v>67.5</v>
      </c>
      <c r="AQ28" s="6" t="s">
        <v>7</v>
      </c>
      <c r="AR28" s="6" t="s">
        <v>16</v>
      </c>
      <c r="AS28" s="3"/>
      <c r="AT28" s="4"/>
      <c r="AU28" s="3"/>
      <c r="AV28" s="4"/>
      <c r="AW28" s="4"/>
      <c r="AX28" s="4"/>
      <c r="AY28" s="4"/>
      <c r="AZ28" s="4"/>
      <c r="BA28" s="6" t="s">
        <v>9</v>
      </c>
      <c r="BB28" s="6" t="s">
        <v>17</v>
      </c>
      <c r="BC28" s="6" t="s">
        <v>18</v>
      </c>
      <c r="BD28" s="6" t="s">
        <v>19</v>
      </c>
      <c r="BE28" s="6" t="s">
        <v>20</v>
      </c>
      <c r="BF28" s="3" t="s">
        <v>20</v>
      </c>
      <c r="BG28" s="3" t="s">
        <v>13</v>
      </c>
      <c r="BH28" s="6"/>
      <c r="BI28" s="3"/>
      <c r="BJ28" s="3"/>
      <c r="BK28" s="7" t="s">
        <v>14</v>
      </c>
      <c r="BL28" t="s">
        <v>370</v>
      </c>
      <c r="BM28">
        <v>2</v>
      </c>
      <c r="BN28">
        <v>1</v>
      </c>
      <c r="BO28" t="s">
        <v>374</v>
      </c>
      <c r="BP28" t="s">
        <v>372</v>
      </c>
      <c r="BQ28" t="s">
        <v>373</v>
      </c>
      <c r="BR28" t="s">
        <v>219</v>
      </c>
      <c r="BS28"/>
      <c r="BT28" s="1"/>
      <c r="BU28" s="1"/>
      <c r="BV28" s="1"/>
      <c r="BW28" s="1"/>
      <c r="BX28" s="1"/>
    </row>
    <row r="29" spans="1:76" hidden="1" x14ac:dyDescent="0.25">
      <c r="B29" s="42" t="s">
        <v>246</v>
      </c>
      <c r="C29" t="s">
        <v>370</v>
      </c>
      <c r="D29" t="str">
        <f t="shared" si="0"/>
        <v>14B-Private</v>
      </c>
      <c r="E29" t="s">
        <v>650</v>
      </c>
      <c r="F29">
        <v>2</v>
      </c>
      <c r="G29">
        <f t="shared" si="1"/>
        <v>18</v>
      </c>
      <c r="H29" s="248" t="s">
        <v>423</v>
      </c>
      <c r="I29" s="248" t="s">
        <v>427</v>
      </c>
      <c r="J29" s="248" t="s">
        <v>586</v>
      </c>
      <c r="K29" s="61">
        <f t="shared" si="2"/>
        <v>0.597145577671644</v>
      </c>
      <c r="L29" s="60">
        <f>IF(I29="Mechanical",(('Mob-Mech'!$E$47+'Demob-Mech'!$E$42)/G29),(('Mob-Hyd'!$E$47+'Demob-Hyd'!$E$42)/G29))</f>
        <v>37477.218453173329</v>
      </c>
      <c r="M29" s="56">
        <f t="shared" si="3"/>
        <v>-4.5985714285714296</v>
      </c>
      <c r="N29" s="56">
        <f t="shared" si="4"/>
        <v>4.5985714285714296</v>
      </c>
      <c r="O29" t="str">
        <f t="shared" si="5"/>
        <v>Averaged</v>
      </c>
      <c r="P29" s="58">
        <f t="shared" si="6"/>
        <v>14428.863848299325</v>
      </c>
      <c r="Q29" s="249">
        <v>1.1000000000000001</v>
      </c>
      <c r="R29" s="58">
        <f t="shared" si="7"/>
        <v>15871.750233129258</v>
      </c>
      <c r="S29" s="58">
        <f>R29*'PrismQC Vols'!$G$14</f>
        <v>1071.5827250152604</v>
      </c>
      <c r="T29" s="282">
        <f>IF(I29="Mechanical",S29/Prod!$D$21,S29/Prod!$D$11)</f>
        <v>1.6328879619280159</v>
      </c>
      <c r="U29" s="61">
        <f>IF(I29="Hydraulic",(T29*('DR-Hyd'!$O$13+'DR-Hyd'!$O$18+'DR-Hyd'!$O$24)/S29),(T29*('DR-Mech'!$O$13+'DR-Mech'!$O$18+'DR-Mech'!$O$24)/S29))</f>
        <v>15.253427281310477</v>
      </c>
      <c r="V29" s="61">
        <f>IF(I29="Hydraulic",(T29*'DR-Hyd'!$O$34)/S29,(T29*'DR-Mech'!$O$34)/S29)+5</f>
        <v>19.221610773333335</v>
      </c>
      <c r="W29" s="61">
        <f>IF(I29="Hydraulic",(Overhead!$F$39/S29)+((Overhead!$D$39/Table!G29)/S29),(Overhead!$K$39/S29)+((Overhead!I63/Table!G29)/S29))</f>
        <v>1.5917265432236007</v>
      </c>
      <c r="X29" s="61">
        <f t="shared" si="8"/>
        <v>1</v>
      </c>
      <c r="Y29" s="61">
        <f>IF(H29="Upland",0,(IF(I29="Mechanical",(T29*'DR-Mech'!$O$24+'DR-Mech'!$O$34)/S29,(T29*'DR-Hyd'!$O$24+'DR-Hyd'!$O$34)/S29)))</f>
        <v>0</v>
      </c>
      <c r="Z29" s="301">
        <f t="shared" si="9"/>
        <v>37.066764597867412</v>
      </c>
      <c r="AA29" s="301">
        <f t="shared" si="10"/>
        <v>42.626779287547521</v>
      </c>
      <c r="AB29" s="302" t="str">
        <f t="shared" si="11"/>
        <v>Moderate</v>
      </c>
      <c r="AC29" s="303">
        <f t="shared" si="12"/>
        <v>4.0616391184573004E-2</v>
      </c>
      <c r="AD29" s="404">
        <f t="shared" si="13"/>
        <v>4520.1463247435613</v>
      </c>
      <c r="AE29" s="61">
        <f t="shared" si="14"/>
        <v>0.74133529195734826</v>
      </c>
      <c r="AF29" s="61">
        <f t="shared" si="15"/>
        <v>0.88960235034881785</v>
      </c>
      <c r="AG29" s="61">
        <f t="shared" si="16"/>
        <v>1.1120029379360223</v>
      </c>
      <c r="AH29" s="301">
        <f t="shared" si="17"/>
        <v>2.7429405802421885</v>
      </c>
      <c r="AI29" s="301">
        <f t="shared" si="18"/>
        <v>3.1543816672785163</v>
      </c>
      <c r="AJ29" s="310">
        <f t="shared" si="19"/>
        <v>39.809705178109603</v>
      </c>
      <c r="AK29" s="311">
        <f t="shared" si="20"/>
        <v>45.781160954826042</v>
      </c>
      <c r="AL29" s="42"/>
      <c r="AM29" s="14">
        <v>1011</v>
      </c>
      <c r="AN29" s="14"/>
      <c r="AO29" s="4">
        <v>140</v>
      </c>
      <c r="AP29" s="5">
        <f t="shared" si="23"/>
        <v>70</v>
      </c>
      <c r="AQ29" s="6"/>
      <c r="AR29" s="6"/>
      <c r="AS29" s="3"/>
      <c r="AT29" s="4"/>
      <c r="AU29" s="3"/>
      <c r="AV29" s="4"/>
      <c r="AW29" s="4"/>
      <c r="AX29" s="4"/>
      <c r="AY29" s="4"/>
      <c r="AZ29" s="4"/>
      <c r="BA29" s="6"/>
      <c r="BB29" s="6" t="s">
        <v>247</v>
      </c>
      <c r="BC29" s="6"/>
      <c r="BD29" s="6" t="s">
        <v>248</v>
      </c>
      <c r="BE29" s="6"/>
      <c r="BF29" s="3"/>
      <c r="BG29" s="3" t="s">
        <v>13</v>
      </c>
      <c r="BH29" s="6"/>
      <c r="BI29" s="3"/>
      <c r="BJ29" s="3" t="s">
        <v>247</v>
      </c>
      <c r="BK29" s="7" t="s">
        <v>14</v>
      </c>
      <c r="BL29" t="s">
        <v>370</v>
      </c>
      <c r="BM29">
        <v>2</v>
      </c>
      <c r="BN29">
        <v>1</v>
      </c>
      <c r="BO29" t="s">
        <v>374</v>
      </c>
      <c r="BP29" t="s">
        <v>372</v>
      </c>
      <c r="BQ29" t="s">
        <v>370</v>
      </c>
      <c r="BR29" t="s">
        <v>219</v>
      </c>
      <c r="BS29"/>
    </row>
    <row r="30" spans="1:76" s="27" customFormat="1" ht="30" hidden="1" x14ac:dyDescent="0.25">
      <c r="A30" s="46" t="s">
        <v>363</v>
      </c>
      <c r="B30" s="41" t="s">
        <v>354</v>
      </c>
      <c r="C30" t="s">
        <v>370</v>
      </c>
      <c r="D30" t="str">
        <f t="shared" si="0"/>
        <v>15N-Private</v>
      </c>
      <c r="E30" t="s">
        <v>650</v>
      </c>
      <c r="F30">
        <v>2</v>
      </c>
      <c r="G30">
        <f t="shared" si="1"/>
        <v>18</v>
      </c>
      <c r="H30" s="248" t="s">
        <v>423</v>
      </c>
      <c r="I30" s="248" t="s">
        <v>427</v>
      </c>
      <c r="J30" s="248" t="s">
        <v>586</v>
      </c>
      <c r="K30" s="61">
        <f t="shared" si="2"/>
        <v>0.6487656411778675</v>
      </c>
      <c r="L30" s="60">
        <f>IF(I30="Mechanical",(('Mob-Mech'!$E$47+'Demob-Mech'!$E$42)/G30),(('Mob-Hyd'!$E$47+'Demob-Hyd'!$E$42)/G30))</f>
        <v>37477.218453173329</v>
      </c>
      <c r="M30" s="56">
        <f t="shared" si="3"/>
        <v>-4.5985714285714296</v>
      </c>
      <c r="N30" s="56">
        <f t="shared" si="4"/>
        <v>4.5985714285714296</v>
      </c>
      <c r="O30" t="str">
        <f t="shared" si="5"/>
        <v>Averaged</v>
      </c>
      <c r="P30" s="58">
        <f t="shared" si="6"/>
        <v>4788.7902408163282</v>
      </c>
      <c r="Q30" s="249">
        <v>1.1000000000000001</v>
      </c>
      <c r="R30" s="58">
        <f t="shared" si="7"/>
        <v>5267.6692648979615</v>
      </c>
      <c r="S30" s="58">
        <f>R30*'PrismQC Vols'!$G$14</f>
        <v>355.64719091761941</v>
      </c>
      <c r="T30" s="282">
        <f>IF(I30="Mechanical",S30/Prod!$D$21,S30/Prod!$D$11)</f>
        <v>0.54193857663637246</v>
      </c>
      <c r="U30" s="61">
        <f>IF(I30="Hydraulic",(T30*('DR-Hyd'!$O$13+'DR-Hyd'!$O$18+'DR-Hyd'!$O$24)/S30),(T30*('DR-Mech'!$O$13+'DR-Mech'!$O$18+'DR-Mech'!$O$24)/S30))</f>
        <v>15.253427281310479</v>
      </c>
      <c r="V30" s="61">
        <f>IF(I30="Hydraulic",(T30*'DR-Hyd'!$O$34)/S30,(T30*'DR-Mech'!$O$34)/S30)+5</f>
        <v>19.221610773333332</v>
      </c>
      <c r="W30" s="61">
        <f>IF(I30="Hydraulic",(Overhead!$F$39/S30)+((Overhead!$D$39/Table!G30)/S30),(Overhead!$K$39/S30)+((Overhead!I64/Table!G30)/S30))</f>
        <v>4.7959514660183551</v>
      </c>
      <c r="X30" s="61">
        <f t="shared" si="8"/>
        <v>1</v>
      </c>
      <c r="Y30" s="61">
        <f>IF(H30="Upland",0,(IF(I30="Mechanical",(T30*'DR-Mech'!$O$24+'DR-Mech'!$O$34)/S30,(T30*'DR-Hyd'!$O$24+'DR-Hyd'!$O$34)/S30)))</f>
        <v>0</v>
      </c>
      <c r="Z30" s="301">
        <f t="shared" si="9"/>
        <v>40.27098952066217</v>
      </c>
      <c r="AA30" s="301">
        <f t="shared" si="10"/>
        <v>46.311637948761494</v>
      </c>
      <c r="AB30" s="302">
        <f t="shared" si="11"/>
        <v>0</v>
      </c>
      <c r="AC30" s="303">
        <f t="shared" si="12"/>
        <v>1.1053719008264462E-2</v>
      </c>
      <c r="AD30" s="404">
        <f t="shared" si="13"/>
        <v>1230.1542774418676</v>
      </c>
      <c r="AE30" s="61">
        <f t="shared" si="14"/>
        <v>0.80541979041324341</v>
      </c>
      <c r="AF30" s="61">
        <f t="shared" si="15"/>
        <v>0.96650374849589205</v>
      </c>
      <c r="AG30" s="61">
        <f t="shared" si="16"/>
        <v>1.2081296856198651</v>
      </c>
      <c r="AH30" s="301">
        <f t="shared" si="17"/>
        <v>2.9800532245290006</v>
      </c>
      <c r="AI30" s="301">
        <f t="shared" si="18"/>
        <v>3.4270612082083503</v>
      </c>
      <c r="AJ30" s="310">
        <f t="shared" si="19"/>
        <v>43.251042745191171</v>
      </c>
      <c r="AK30" s="311">
        <f t="shared" si="20"/>
        <v>49.738699156969844</v>
      </c>
      <c r="AL30" s="41" t="s">
        <v>188</v>
      </c>
      <c r="AM30" s="29">
        <v>642</v>
      </c>
      <c r="AN30" s="29"/>
      <c r="AO30" s="30"/>
      <c r="AP30" s="30">
        <v>30</v>
      </c>
      <c r="AQ30" s="31"/>
      <c r="AR30" s="31"/>
      <c r="AS30" s="28"/>
      <c r="AT30" s="30"/>
      <c r="AU30" s="28"/>
      <c r="AV30" s="30"/>
      <c r="AW30" s="30"/>
      <c r="AX30" s="30"/>
      <c r="AY30" s="4"/>
      <c r="AZ30" s="4"/>
      <c r="BA30" s="31"/>
      <c r="BB30" s="31"/>
      <c r="BC30" s="31"/>
      <c r="BD30" s="31"/>
      <c r="BE30" s="31"/>
      <c r="BF30" s="28"/>
      <c r="BG30" s="28"/>
      <c r="BH30" s="31"/>
      <c r="BI30" s="28"/>
      <c r="BJ30" s="28"/>
      <c r="BK30" s="32"/>
      <c r="BL30" t="s">
        <v>370</v>
      </c>
      <c r="BM30">
        <v>2</v>
      </c>
      <c r="BN30">
        <v>1</v>
      </c>
      <c r="BO30" t="s">
        <v>374</v>
      </c>
      <c r="BP30" t="s">
        <v>372</v>
      </c>
      <c r="BQ30" t="s">
        <v>373</v>
      </c>
      <c r="BR30" t="s">
        <v>380</v>
      </c>
      <c r="BS30"/>
      <c r="BT30" s="1"/>
      <c r="BU30" s="1"/>
      <c r="BV30" s="1"/>
      <c r="BW30" s="1"/>
      <c r="BX30" s="1"/>
    </row>
    <row r="31" spans="1:76" s="27" customFormat="1" ht="30" hidden="1" x14ac:dyDescent="0.25">
      <c r="A31" s="46" t="s">
        <v>363</v>
      </c>
      <c r="B31" s="41" t="s">
        <v>355</v>
      </c>
      <c r="C31" t="s">
        <v>370</v>
      </c>
      <c r="D31" t="str">
        <f t="shared" si="0"/>
        <v>15S-Private</v>
      </c>
      <c r="E31" t="s">
        <v>650</v>
      </c>
      <c r="F31">
        <v>2</v>
      </c>
      <c r="G31">
        <f t="shared" si="1"/>
        <v>18</v>
      </c>
      <c r="H31" s="248" t="s">
        <v>423</v>
      </c>
      <c r="I31" s="248" t="s">
        <v>427</v>
      </c>
      <c r="J31" s="248" t="s">
        <v>586</v>
      </c>
      <c r="K31" s="61">
        <f t="shared" si="2"/>
        <v>0.59963825928916625</v>
      </c>
      <c r="L31" s="60">
        <f>IF(I31="Mechanical",(('Mob-Mech'!$E$47+'Demob-Mech'!$E$42)/G31),(('Mob-Hyd'!$E$47+'Demob-Hyd'!$E$42)/G31))</f>
        <v>37477.218453173329</v>
      </c>
      <c r="M31" s="56">
        <f t="shared" si="3"/>
        <v>-4.5985714285714296</v>
      </c>
      <c r="N31" s="56">
        <f t="shared" si="4"/>
        <v>4.5985714285714296</v>
      </c>
      <c r="O31" t="str">
        <f t="shared" si="5"/>
        <v>Averaged</v>
      </c>
      <c r="P31" s="58">
        <f t="shared" si="6"/>
        <v>13150.525225170073</v>
      </c>
      <c r="Q31" s="249">
        <v>1.1000000000000001</v>
      </c>
      <c r="R31" s="58">
        <f t="shared" si="7"/>
        <v>14465.577747687081</v>
      </c>
      <c r="S31" s="58">
        <f>R31*'PrismQC Vols'!$G$14</f>
        <v>976.64485605570565</v>
      </c>
      <c r="T31" s="282">
        <f>IF(I31="Mechanical",S31/Prod!$D$21,S31/Prod!$D$11)</f>
        <v>1.4882207330372657</v>
      </c>
      <c r="U31" s="61">
        <f>IF(I31="Hydraulic",(T31*('DR-Hyd'!$O$13+'DR-Hyd'!$O$18+'DR-Hyd'!$O$24)/S31),(T31*('DR-Mech'!$O$13+'DR-Mech'!$O$18+'DR-Mech'!$O$24)/S31))</f>
        <v>15.253427281310476</v>
      </c>
      <c r="V31" s="61">
        <f>IF(I31="Hydraulic",(T31*'DR-Hyd'!$O$34)/S31,(T31*'DR-Mech'!$O$34)/S31)+5</f>
        <v>19.221610773333332</v>
      </c>
      <c r="W31" s="61">
        <f>IF(I31="Hydraulic",(Overhead!$F$39/S31)+((Overhead!$D$39/Table!G31)/S31),(Overhead!$K$39/S31)+((Overhead!I65/Table!G31)/S31))</f>
        <v>1.7464553835415679</v>
      </c>
      <c r="X31" s="61">
        <f t="shared" si="8"/>
        <v>1</v>
      </c>
      <c r="Y31" s="61">
        <f>IF(H31="Upland",0,(IF(I31="Mechanical",(T31*'DR-Mech'!$O$24+'DR-Mech'!$O$34)/S31,(T31*'DR-Hyd'!$O$24+'DR-Hyd'!$O$34)/S31)))</f>
        <v>0</v>
      </c>
      <c r="Z31" s="301">
        <f t="shared" si="9"/>
        <v>37.221493438185369</v>
      </c>
      <c r="AA31" s="301">
        <f t="shared" si="10"/>
        <v>42.80471745391317</v>
      </c>
      <c r="AB31" s="302" t="str">
        <f t="shared" si="11"/>
        <v>Moderate</v>
      </c>
      <c r="AC31" s="303">
        <f t="shared" si="12"/>
        <v>3.0354683195592286E-2</v>
      </c>
      <c r="AD31" s="404">
        <f t="shared" si="13"/>
        <v>3378.1339425701135</v>
      </c>
      <c r="AE31" s="61">
        <f t="shared" si="14"/>
        <v>0.74442986876370743</v>
      </c>
      <c r="AF31" s="61">
        <f t="shared" si="15"/>
        <v>0.89331584251644891</v>
      </c>
      <c r="AG31" s="61">
        <f t="shared" si="16"/>
        <v>1.1166448031455611</v>
      </c>
      <c r="AH31" s="301">
        <f t="shared" si="17"/>
        <v>2.7543905144257175</v>
      </c>
      <c r="AI31" s="301">
        <f t="shared" si="18"/>
        <v>3.1675490915895748</v>
      </c>
      <c r="AJ31" s="310">
        <f t="shared" si="19"/>
        <v>39.975883952611085</v>
      </c>
      <c r="AK31" s="311">
        <f t="shared" si="20"/>
        <v>45.972266545502741</v>
      </c>
      <c r="AL31" s="41" t="s">
        <v>314</v>
      </c>
      <c r="AM31" s="14">
        <v>1763</v>
      </c>
      <c r="AN31" s="14"/>
      <c r="AO31" s="4">
        <v>60</v>
      </c>
      <c r="AP31" s="8">
        <f t="shared" ref="AP31:AP62" si="24">0.5*AO31</f>
        <v>30</v>
      </c>
      <c r="AQ31" s="6"/>
      <c r="AR31" s="6"/>
      <c r="AS31" s="3"/>
      <c r="AT31" s="4"/>
      <c r="AU31" s="3"/>
      <c r="AV31" s="4"/>
      <c r="AW31" s="4"/>
      <c r="AX31" s="4"/>
      <c r="AY31" s="4"/>
      <c r="AZ31" s="4"/>
      <c r="BA31" s="6"/>
      <c r="BB31" s="6" t="s">
        <v>189</v>
      </c>
      <c r="BC31" s="6" t="s">
        <v>85</v>
      </c>
      <c r="BD31" s="6" t="s">
        <v>11</v>
      </c>
      <c r="BE31" s="6" t="s">
        <v>134</v>
      </c>
      <c r="BF31" s="3"/>
      <c r="BG31" s="3" t="s">
        <v>13</v>
      </c>
      <c r="BH31" s="6"/>
      <c r="BI31" s="3"/>
      <c r="BJ31" s="3"/>
      <c r="BK31" s="7" t="s">
        <v>14</v>
      </c>
      <c r="BL31" t="s">
        <v>370</v>
      </c>
      <c r="BM31">
        <v>2</v>
      </c>
      <c r="BN31">
        <v>1</v>
      </c>
      <c r="BO31" t="s">
        <v>91</v>
      </c>
      <c r="BP31" t="s">
        <v>372</v>
      </c>
      <c r="BQ31" t="s">
        <v>373</v>
      </c>
      <c r="BR31" t="s">
        <v>381</v>
      </c>
      <c r="BS31"/>
      <c r="BT31" s="1"/>
      <c r="BU31" s="1"/>
      <c r="BV31" s="1"/>
      <c r="BW31" s="1"/>
      <c r="BX31" s="1"/>
    </row>
    <row r="32" spans="1:76" s="27" customFormat="1" ht="45" hidden="1" x14ac:dyDescent="0.25">
      <c r="A32" s="46" t="s">
        <v>357</v>
      </c>
      <c r="B32" s="41" t="s">
        <v>356</v>
      </c>
      <c r="C32" t="s">
        <v>370</v>
      </c>
      <c r="D32" t="str">
        <f t="shared" si="0"/>
        <v>15W-Private</v>
      </c>
      <c r="E32" t="s">
        <v>650</v>
      </c>
      <c r="F32">
        <v>2</v>
      </c>
      <c r="G32">
        <f t="shared" si="1"/>
        <v>18</v>
      </c>
      <c r="H32" s="248" t="s">
        <v>423</v>
      </c>
      <c r="I32" s="248" t="s">
        <v>427</v>
      </c>
      <c r="J32" s="248" t="s">
        <v>586</v>
      </c>
      <c r="K32" s="61">
        <f t="shared" si="2"/>
        <v>0.60148028862668457</v>
      </c>
      <c r="L32" s="60">
        <f>IF(I32="Mechanical",(('Mob-Mech'!$E$47+'Demob-Mech'!$E$42)/G32),(('Mob-Hyd'!$E$47+'Demob-Hyd'!$E$42)/G32))</f>
        <v>37477.218453173329</v>
      </c>
      <c r="M32" s="56">
        <f t="shared" si="3"/>
        <v>-4.5985714285714296</v>
      </c>
      <c r="N32" s="56">
        <f t="shared" si="4"/>
        <v>4.5985714285714296</v>
      </c>
      <c r="O32" t="str">
        <f t="shared" si="5"/>
        <v>Averaged</v>
      </c>
      <c r="P32" s="58">
        <f t="shared" si="6"/>
        <v>12342.462063945584</v>
      </c>
      <c r="Q32" s="249">
        <v>1.1000000000000001</v>
      </c>
      <c r="R32" s="58">
        <f t="shared" si="7"/>
        <v>13576.708270340145</v>
      </c>
      <c r="S32" s="58">
        <f>R32*'PrismQC Vols'!$G$14</f>
        <v>916.63274883830729</v>
      </c>
      <c r="T32" s="282">
        <f>IF(I32="Mechanical",S32/Prod!$D$21,S32/Prod!$D$11)</f>
        <v>1.396773712515516</v>
      </c>
      <c r="U32" s="61">
        <f>IF(I32="Hydraulic",(T32*('DR-Hyd'!$O$13+'DR-Hyd'!$O$18+'DR-Hyd'!$O$24)/S32),(T32*('DR-Mech'!$O$13+'DR-Mech'!$O$18+'DR-Mech'!$O$24)/S32))</f>
        <v>15.253427281310477</v>
      </c>
      <c r="V32" s="61">
        <f>IF(I32="Hydraulic",(T32*'DR-Hyd'!$O$34)/S32,(T32*'DR-Mech'!$O$34)/S32)+5</f>
        <v>19.221610773333335</v>
      </c>
      <c r="W32" s="61">
        <f>IF(I32="Hydraulic",(Overhead!$F$39/S32)+((Overhead!$D$39/Table!G32)/S32),(Overhead!$K$39/S32)+((Overhead!I66/Table!G32)/S32))</f>
        <v>1.8607961245420699</v>
      </c>
      <c r="X32" s="61">
        <f t="shared" si="8"/>
        <v>1</v>
      </c>
      <c r="Y32" s="61">
        <f>IF(H32="Upland",0,(IF(I32="Mechanical",(T32*'DR-Mech'!$O$24+'DR-Mech'!$O$34)/S32,(T32*'DR-Hyd'!$O$24+'DR-Hyd'!$O$34)/S32)))</f>
        <v>0</v>
      </c>
      <c r="Z32" s="301">
        <f t="shared" si="9"/>
        <v>37.335834179185881</v>
      </c>
      <c r="AA32" s="301">
        <f t="shared" si="10"/>
        <v>42.936209306063759</v>
      </c>
      <c r="AB32" s="302" t="str">
        <f t="shared" si="11"/>
        <v>High</v>
      </c>
      <c r="AC32" s="303">
        <f t="shared" si="12"/>
        <v>6.7630853994490356E-2</v>
      </c>
      <c r="AD32" s="404">
        <f t="shared" si="13"/>
        <v>7526.551404659901</v>
      </c>
      <c r="AE32" s="61">
        <f t="shared" si="14"/>
        <v>0.74671668358371768</v>
      </c>
      <c r="AF32" s="61">
        <f t="shared" si="15"/>
        <v>0.89606002030046117</v>
      </c>
      <c r="AG32" s="61">
        <f t="shared" si="16"/>
        <v>1.1200750253755765</v>
      </c>
      <c r="AH32" s="301">
        <f t="shared" si="17"/>
        <v>2.7628517292597552</v>
      </c>
      <c r="AI32" s="301">
        <f t="shared" si="18"/>
        <v>3.1772794886487183</v>
      </c>
      <c r="AJ32" s="310">
        <f t="shared" si="19"/>
        <v>40.098685908445638</v>
      </c>
      <c r="AK32" s="311">
        <f t="shared" si="20"/>
        <v>46.113488794712481</v>
      </c>
      <c r="AL32" s="41" t="s">
        <v>314</v>
      </c>
      <c r="AM32" s="29">
        <v>982</v>
      </c>
      <c r="AN32" s="29"/>
      <c r="AO32" s="30">
        <v>120</v>
      </c>
      <c r="AP32" s="30">
        <f t="shared" si="24"/>
        <v>60</v>
      </c>
      <c r="AQ32" s="31"/>
      <c r="AR32" s="31"/>
      <c r="AS32" s="28"/>
      <c r="AT32" s="30"/>
      <c r="AU32" s="28"/>
      <c r="AV32" s="30"/>
      <c r="AW32" s="30"/>
      <c r="AX32" s="30"/>
      <c r="AY32" s="4"/>
      <c r="AZ32" s="4"/>
      <c r="BA32" s="31"/>
      <c r="BB32" s="31"/>
      <c r="BC32" s="31" t="s">
        <v>26</v>
      </c>
      <c r="BD32" s="31" t="s">
        <v>11</v>
      </c>
      <c r="BE32" s="31" t="s">
        <v>20</v>
      </c>
      <c r="BF32" s="28"/>
      <c r="BG32" s="28" t="s">
        <v>28</v>
      </c>
      <c r="BH32" s="31"/>
      <c r="BI32" s="28"/>
      <c r="BJ32" s="28"/>
      <c r="BK32" s="32" t="s">
        <v>14</v>
      </c>
      <c r="BL32" t="s">
        <v>370</v>
      </c>
      <c r="BM32">
        <v>2</v>
      </c>
      <c r="BN32"/>
      <c r="BO32" t="s">
        <v>91</v>
      </c>
      <c r="BP32" t="s">
        <v>373</v>
      </c>
      <c r="BQ32" t="s">
        <v>43</v>
      </c>
      <c r="BR32" t="s">
        <v>382</v>
      </c>
      <c r="BS32"/>
      <c r="BT32" s="1"/>
      <c r="BU32" s="1"/>
      <c r="BV32" s="1"/>
      <c r="BW32" s="1"/>
      <c r="BX32" s="1"/>
    </row>
    <row r="33" spans="1:76" ht="30" hidden="1" x14ac:dyDescent="0.25">
      <c r="B33" s="42" t="s">
        <v>21</v>
      </c>
      <c r="C33" t="s">
        <v>370</v>
      </c>
      <c r="D33" t="str">
        <f t="shared" si="0"/>
        <v>16-Private</v>
      </c>
      <c r="E33" t="s">
        <v>650</v>
      </c>
      <c r="F33">
        <v>2</v>
      </c>
      <c r="G33">
        <f t="shared" si="1"/>
        <v>18</v>
      </c>
      <c r="H33" s="248" t="s">
        <v>423</v>
      </c>
      <c r="I33" s="248" t="s">
        <v>427</v>
      </c>
      <c r="J33" s="248" t="s">
        <v>586</v>
      </c>
      <c r="K33" s="61">
        <f t="shared" si="2"/>
        <v>0.6151105451483323</v>
      </c>
      <c r="L33" s="60">
        <f>IF(I33="Mechanical",(('Mob-Mech'!$E$47+'Demob-Mech'!$E$42)/G33),(('Mob-Hyd'!$E$47+'Demob-Hyd'!$E$42)/G33))</f>
        <v>37477.218453173329</v>
      </c>
      <c r="M33" s="56">
        <f t="shared" si="3"/>
        <v>-4.5985714285714296</v>
      </c>
      <c r="N33" s="56">
        <f t="shared" si="4"/>
        <v>4.5985714285714296</v>
      </c>
      <c r="O33" t="str">
        <f t="shared" si="5"/>
        <v>Averaged</v>
      </c>
      <c r="P33" s="58">
        <f t="shared" si="6"/>
        <v>8484.6343605442216</v>
      </c>
      <c r="Q33" s="249">
        <v>1.1000000000000001</v>
      </c>
      <c r="R33" s="58">
        <f t="shared" si="7"/>
        <v>9333.097796598644</v>
      </c>
      <c r="S33" s="58">
        <f>R33*'PrismQC Vols'!$G$14</f>
        <v>630.12498450470355</v>
      </c>
      <c r="T33" s="282">
        <f>IF(I33="Mechanical",S33/Prod!$D$21,S33/Prod!$D$11)</f>
        <v>0.96019045257859592</v>
      </c>
      <c r="U33" s="61">
        <f>IF(I33="Hydraulic",(T33*('DR-Hyd'!$O$13+'DR-Hyd'!$O$18+'DR-Hyd'!$O$24)/S33),(T33*('DR-Mech'!$O$13+'DR-Mech'!$O$18+'DR-Mech'!$O$24)/S33))</f>
        <v>15.253427281310477</v>
      </c>
      <c r="V33" s="61">
        <f>IF(I33="Hydraulic",(T33*'DR-Hyd'!$O$34)/S33,(T33*'DR-Mech'!$O$34)/S33)+5</f>
        <v>19.221610773333335</v>
      </c>
      <c r="W33" s="61">
        <f>IF(I33="Hydraulic",(Overhead!$F$39/S33)+((Overhead!$D$39/Table!G33)/S33),(Overhead!$K$39/S33)+((Overhead!I67/Table!G33)/S33))</f>
        <v>2.7068703965251752</v>
      </c>
      <c r="X33" s="61">
        <f t="shared" si="8"/>
        <v>1</v>
      </c>
      <c r="Y33" s="61">
        <f>IF(H33="Upland",0,(IF(I33="Mechanical",(T33*'DR-Mech'!$O$24+'DR-Mech'!$O$34)/S33,(T33*'DR-Hyd'!$O$24+'DR-Hyd'!$O$34)/S33)))</f>
        <v>0</v>
      </c>
      <c r="Z33" s="301">
        <f t="shared" si="9"/>
        <v>38.181908451168987</v>
      </c>
      <c r="AA33" s="301">
        <f t="shared" si="10"/>
        <v>43.909194718844333</v>
      </c>
      <c r="AB33" s="302" t="str">
        <f t="shared" si="11"/>
        <v>High</v>
      </c>
      <c r="AC33" s="303">
        <f t="shared" si="12"/>
        <v>2.9786501377410467E-2</v>
      </c>
      <c r="AD33" s="404">
        <f t="shared" si="13"/>
        <v>3314.9017133558118</v>
      </c>
      <c r="AE33" s="61">
        <f t="shared" si="14"/>
        <v>0.76363816902337978</v>
      </c>
      <c r="AF33" s="61">
        <f t="shared" si="15"/>
        <v>0.91636580282805569</v>
      </c>
      <c r="AG33" s="61">
        <f t="shared" si="16"/>
        <v>1.1454572535350696</v>
      </c>
      <c r="AH33" s="301">
        <f t="shared" si="17"/>
        <v>2.8254612253865048</v>
      </c>
      <c r="AI33" s="301">
        <f t="shared" si="18"/>
        <v>3.2492804091944802</v>
      </c>
      <c r="AJ33" s="310">
        <f t="shared" si="19"/>
        <v>41.007369676555491</v>
      </c>
      <c r="AK33" s="311">
        <f t="shared" si="20"/>
        <v>47.158475128038809</v>
      </c>
      <c r="AL33" s="42" t="s">
        <v>21</v>
      </c>
      <c r="AM33" s="14">
        <v>1730</v>
      </c>
      <c r="AN33" s="14"/>
      <c r="AO33" s="4">
        <v>30</v>
      </c>
      <c r="AP33" s="5">
        <f t="shared" si="24"/>
        <v>15</v>
      </c>
      <c r="AQ33" s="6" t="s">
        <v>22</v>
      </c>
      <c r="AR33" s="6" t="s">
        <v>23</v>
      </c>
      <c r="AS33" s="3" t="s">
        <v>8</v>
      </c>
      <c r="AT33" s="4">
        <v>-4.4000000000000004</v>
      </c>
      <c r="AU33" s="3"/>
      <c r="AV33" s="4"/>
      <c r="AW33" s="4"/>
      <c r="AX33" s="4"/>
      <c r="AY33" s="4"/>
      <c r="AZ33" s="4"/>
      <c r="BA33" s="6" t="s">
        <v>24</v>
      </c>
      <c r="BB33" s="6" t="s">
        <v>25</v>
      </c>
      <c r="BC33" s="6" t="s">
        <v>26</v>
      </c>
      <c r="BD33" s="6" t="s">
        <v>19</v>
      </c>
      <c r="BE33" s="6" t="s">
        <v>27</v>
      </c>
      <c r="BF33" s="3"/>
      <c r="BG33" s="3" t="s">
        <v>28</v>
      </c>
      <c r="BH33" s="6"/>
      <c r="BI33" s="3"/>
      <c r="BJ33" s="3"/>
      <c r="BK33" s="7" t="s">
        <v>14</v>
      </c>
      <c r="BL33" t="s">
        <v>370</v>
      </c>
      <c r="BM33">
        <v>2</v>
      </c>
      <c r="BN33">
        <v>1</v>
      </c>
      <c r="BO33" t="s">
        <v>91</v>
      </c>
      <c r="BP33" t="s">
        <v>372</v>
      </c>
      <c r="BQ33" t="s">
        <v>373</v>
      </c>
      <c r="BR33" t="s">
        <v>219</v>
      </c>
      <c r="BS33"/>
    </row>
    <row r="34" spans="1:76" ht="30" hidden="1" x14ac:dyDescent="0.25">
      <c r="B34" s="42" t="s">
        <v>191</v>
      </c>
      <c r="C34" t="s">
        <v>370</v>
      </c>
      <c r="D34" t="str">
        <f t="shared" si="0"/>
        <v>16A-Private</v>
      </c>
      <c r="E34" t="s">
        <v>650</v>
      </c>
      <c r="F34">
        <v>2</v>
      </c>
      <c r="G34">
        <f t="shared" si="1"/>
        <v>18</v>
      </c>
      <c r="H34" s="248" t="s">
        <v>423</v>
      </c>
      <c r="I34" s="248" t="s">
        <v>427</v>
      </c>
      <c r="J34" s="248" t="s">
        <v>586</v>
      </c>
      <c r="K34" s="61">
        <f t="shared" si="2"/>
        <v>0.61011289298862315</v>
      </c>
      <c r="L34" s="60">
        <f>IF(I34="Mechanical",(('Mob-Mech'!$E$47+'Demob-Mech'!$E$42)/G34),(('Mob-Hyd'!$E$47+'Demob-Hyd'!$E$42)/G34))</f>
        <v>37477.218453173329</v>
      </c>
      <c r="M34" s="56">
        <f t="shared" si="3"/>
        <v>-4.5985714285714296</v>
      </c>
      <c r="N34" s="56">
        <f t="shared" si="4"/>
        <v>4.5985714285714296</v>
      </c>
      <c r="O34" t="str">
        <f t="shared" si="5"/>
        <v>Averaged</v>
      </c>
      <c r="P34" s="58">
        <f t="shared" si="6"/>
        <v>9582.8788145124745</v>
      </c>
      <c r="Q34" s="249">
        <v>1.1000000000000001</v>
      </c>
      <c r="R34" s="58">
        <f t="shared" si="7"/>
        <v>10541.166695963722</v>
      </c>
      <c r="S34" s="58">
        <f>R34*'PrismQC Vols'!$G$14</f>
        <v>711.68787102781039</v>
      </c>
      <c r="T34" s="282">
        <f>IF(I34="Mechanical",S34/Prod!$D$21,S34/Prod!$D$11)</f>
        <v>1.0844767558519015</v>
      </c>
      <c r="U34" s="61">
        <f>IF(I34="Hydraulic",(T34*('DR-Hyd'!$O$13+'DR-Hyd'!$O$18+'DR-Hyd'!$O$24)/S34),(T34*('DR-Mech'!$O$13+'DR-Mech'!$O$18+'DR-Mech'!$O$24)/S34))</f>
        <v>15.253427281310476</v>
      </c>
      <c r="V34" s="61">
        <f>IF(I34="Hydraulic",(T34*'DR-Hyd'!$O$34)/S34,(T34*'DR-Mech'!$O$34)/S34)+5</f>
        <v>19.221610773333332</v>
      </c>
      <c r="W34" s="61">
        <f>IF(I34="Hydraulic",(Overhead!$F$39/S34)+((Overhead!$D$39/Table!G34)/S34),(Overhead!$K$39/S34)+((Overhead!I68/Table!G34)/S34))</f>
        <v>2.3966499024401879</v>
      </c>
      <c r="X34" s="61">
        <f t="shared" si="8"/>
        <v>1</v>
      </c>
      <c r="Y34" s="61">
        <f>IF(H34="Upland",0,(IF(I34="Mechanical",(T34*'DR-Mech'!$O$24+'DR-Mech'!$O$34)/S34,(T34*'DR-Hyd'!$O$24+'DR-Hyd'!$O$34)/S34)))</f>
        <v>0</v>
      </c>
      <c r="Z34" s="301">
        <f t="shared" si="9"/>
        <v>37.871687957083992</v>
      </c>
      <c r="AA34" s="301">
        <f t="shared" si="10"/>
        <v>43.552441150646587</v>
      </c>
      <c r="AB34" s="302" t="str">
        <f t="shared" si="11"/>
        <v>High</v>
      </c>
      <c r="AC34" s="303">
        <f t="shared" si="12"/>
        <v>5.4258494031221301E-2</v>
      </c>
      <c r="AD34" s="404">
        <f t="shared" si="13"/>
        <v>6038.3585352728023</v>
      </c>
      <c r="AE34" s="61">
        <f t="shared" si="14"/>
        <v>0.75743375914167987</v>
      </c>
      <c r="AF34" s="61">
        <f t="shared" si="15"/>
        <v>0.9089205109700158</v>
      </c>
      <c r="AG34" s="61">
        <f t="shared" si="16"/>
        <v>1.1361506387125198</v>
      </c>
      <c r="AH34" s="301">
        <f t="shared" si="17"/>
        <v>2.8025049088242158</v>
      </c>
      <c r="AI34" s="301">
        <f t="shared" si="18"/>
        <v>3.222880645147848</v>
      </c>
      <c r="AJ34" s="310">
        <f t="shared" si="19"/>
        <v>40.674192865908211</v>
      </c>
      <c r="AK34" s="311">
        <f t="shared" si="20"/>
        <v>46.77532179579444</v>
      </c>
      <c r="AL34" s="42"/>
      <c r="AM34" s="14">
        <v>652</v>
      </c>
      <c r="AN34" s="14"/>
      <c r="AO34" s="8">
        <v>145</v>
      </c>
      <c r="AP34" s="5">
        <f t="shared" si="24"/>
        <v>72.5</v>
      </c>
      <c r="AQ34" s="6"/>
      <c r="AR34" s="6"/>
      <c r="AS34" s="3"/>
      <c r="AT34" s="4"/>
      <c r="AU34" s="3"/>
      <c r="AV34" s="4"/>
      <c r="AW34" s="4"/>
      <c r="AX34" s="4"/>
      <c r="AY34" s="19"/>
      <c r="AZ34" s="19"/>
      <c r="BA34" s="6"/>
      <c r="BB34" s="6" t="s">
        <v>192</v>
      </c>
      <c r="BC34" s="6" t="s">
        <v>10</v>
      </c>
      <c r="BD34" s="6" t="s">
        <v>193</v>
      </c>
      <c r="BE34" s="6" t="s">
        <v>134</v>
      </c>
      <c r="BF34" s="3"/>
      <c r="BG34" s="3" t="s">
        <v>28</v>
      </c>
      <c r="BH34" s="6"/>
      <c r="BI34" s="3"/>
      <c r="BJ34" s="3" t="s">
        <v>192</v>
      </c>
      <c r="BK34" s="7" t="s">
        <v>14</v>
      </c>
      <c r="BL34" t="s">
        <v>370</v>
      </c>
      <c r="BM34">
        <v>2</v>
      </c>
      <c r="BN34">
        <v>1</v>
      </c>
      <c r="BO34" t="s">
        <v>374</v>
      </c>
      <c r="BP34" t="s">
        <v>375</v>
      </c>
      <c r="BQ34" t="s">
        <v>373</v>
      </c>
      <c r="BR34" t="s">
        <v>219</v>
      </c>
      <c r="BS34"/>
    </row>
    <row r="35" spans="1:76" hidden="1" x14ac:dyDescent="0.25">
      <c r="B35" s="42" t="s">
        <v>29</v>
      </c>
      <c r="C35" t="s">
        <v>370</v>
      </c>
      <c r="D35" t="str">
        <f t="shared" si="0"/>
        <v>17-Private</v>
      </c>
      <c r="E35" t="s">
        <v>650</v>
      </c>
      <c r="F35">
        <v>2</v>
      </c>
      <c r="G35">
        <f t="shared" si="1"/>
        <v>18</v>
      </c>
      <c r="H35" s="248" t="s">
        <v>423</v>
      </c>
      <c r="I35" s="248" t="s">
        <v>427</v>
      </c>
      <c r="J35" s="248" t="s">
        <v>586</v>
      </c>
      <c r="K35" s="61">
        <f t="shared" si="2"/>
        <v>0.60159926235176342</v>
      </c>
      <c r="L35" s="60">
        <f>IF(I35="Mechanical",(('Mob-Mech'!$E$47+'Demob-Mech'!$E$42)/G35),(('Mob-Hyd'!$E$47+'Demob-Hyd'!$E$42)/G35))</f>
        <v>37477.218453173329</v>
      </c>
      <c r="M35" s="56">
        <f t="shared" si="3"/>
        <v>-4.5985714285714296</v>
      </c>
      <c r="N35" s="56">
        <f t="shared" si="4"/>
        <v>4.5985714285714296</v>
      </c>
      <c r="O35" t="str">
        <f t="shared" si="5"/>
        <v>Averaged</v>
      </c>
      <c r="P35" s="58">
        <f t="shared" si="6"/>
        <v>12293.67122108844</v>
      </c>
      <c r="Q35" s="249">
        <v>1.1000000000000001</v>
      </c>
      <c r="R35" s="58">
        <f t="shared" si="7"/>
        <v>13523.038343197284</v>
      </c>
      <c r="S35" s="58">
        <f>R35*'PrismQC Vols'!$G$14</f>
        <v>913.00921860790629</v>
      </c>
      <c r="T35" s="282">
        <f>IF(I35="Mechanical",S35/Prod!$D$21,S35/Prod!$D$11)</f>
        <v>1.391252142640619</v>
      </c>
      <c r="U35" s="61">
        <f>IF(I35="Hydraulic",(T35*('DR-Hyd'!$O$13+'DR-Hyd'!$O$18+'DR-Hyd'!$O$24)/S35),(T35*('DR-Mech'!$O$13+'DR-Mech'!$O$18+'DR-Mech'!$O$24)/S35))</f>
        <v>15.253427281310476</v>
      </c>
      <c r="V35" s="61">
        <f>IF(I35="Hydraulic",(T35*'DR-Hyd'!$O$34)/S35,(T35*'DR-Mech'!$O$34)/S35)+5</f>
        <v>19.221610773333332</v>
      </c>
      <c r="W35" s="61">
        <f>IF(I35="Hydraulic",(Overhead!$F$39/S35)+((Overhead!$D$39/Table!G35)/S35),(Overhead!$K$39/S35)+((Overhead!I69/Table!G35)/S35))</f>
        <v>1.8681812098976942</v>
      </c>
      <c r="X35" s="61">
        <f t="shared" si="8"/>
        <v>1</v>
      </c>
      <c r="Y35" s="61">
        <f>IF(H35="Upland",0,(IF(I35="Mechanical",(T35*'DR-Mech'!$O$24+'DR-Mech'!$O$34)/S35,(T35*'DR-Hyd'!$O$24+'DR-Hyd'!$O$34)/S35)))</f>
        <v>0</v>
      </c>
      <c r="Z35" s="301">
        <f t="shared" si="9"/>
        <v>37.343219264541496</v>
      </c>
      <c r="AA35" s="301">
        <f t="shared" si="10"/>
        <v>42.944702154222718</v>
      </c>
      <c r="AB35" s="302" t="str">
        <f t="shared" si="11"/>
        <v>High</v>
      </c>
      <c r="AC35" s="303">
        <f t="shared" si="12"/>
        <v>4.7460399449035816E-2</v>
      </c>
      <c r="AD35" s="404">
        <f t="shared" si="13"/>
        <v>5281.8072675521944</v>
      </c>
      <c r="AE35" s="61">
        <f t="shared" si="14"/>
        <v>0.74686438529082988</v>
      </c>
      <c r="AF35" s="61">
        <f t="shared" si="15"/>
        <v>0.89623726234899592</v>
      </c>
      <c r="AG35" s="61">
        <f t="shared" si="16"/>
        <v>1.1202965779362448</v>
      </c>
      <c r="AH35" s="301">
        <f t="shared" si="17"/>
        <v>2.7633982255760707</v>
      </c>
      <c r="AI35" s="301">
        <f t="shared" si="18"/>
        <v>3.1779079594124813</v>
      </c>
      <c r="AJ35" s="310">
        <f t="shared" si="19"/>
        <v>40.106617490117564</v>
      </c>
      <c r="AK35" s="311">
        <f t="shared" si="20"/>
        <v>46.122610113635197</v>
      </c>
      <c r="AL35" s="42" t="s">
        <v>29</v>
      </c>
      <c r="AM35" s="14">
        <v>2235</v>
      </c>
      <c r="AN35" s="14"/>
      <c r="AO35" s="4">
        <v>37</v>
      </c>
      <c r="AP35" s="5">
        <f t="shared" si="24"/>
        <v>18.5</v>
      </c>
      <c r="AQ35" s="6" t="s">
        <v>23</v>
      </c>
      <c r="AR35" s="6" t="s">
        <v>30</v>
      </c>
      <c r="AS35" s="3" t="s">
        <v>8</v>
      </c>
      <c r="AT35" s="4">
        <v>-3.4</v>
      </c>
      <c r="AU35" s="3"/>
      <c r="AV35" s="4"/>
      <c r="AW35" s="4"/>
      <c r="AX35" s="4"/>
      <c r="AY35" s="4"/>
      <c r="AZ35" s="4"/>
      <c r="BA35" s="6" t="s">
        <v>9</v>
      </c>
      <c r="BB35" s="6" t="s">
        <v>31</v>
      </c>
      <c r="BC35" s="6" t="s">
        <v>26</v>
      </c>
      <c r="BD35" s="6" t="s">
        <v>19</v>
      </c>
      <c r="BE35" s="6" t="s">
        <v>32</v>
      </c>
      <c r="BF35" s="3"/>
      <c r="BG35" s="3" t="s">
        <v>28</v>
      </c>
      <c r="BH35" s="6"/>
      <c r="BI35" s="3"/>
      <c r="BJ35" s="3"/>
      <c r="BK35" s="7" t="s">
        <v>14</v>
      </c>
      <c r="BL35" t="s">
        <v>370</v>
      </c>
      <c r="BM35">
        <v>2</v>
      </c>
      <c r="BN35">
        <v>1</v>
      </c>
      <c r="BO35" t="s">
        <v>91</v>
      </c>
      <c r="BP35" t="s">
        <v>372</v>
      </c>
      <c r="BQ35" t="s">
        <v>370</v>
      </c>
      <c r="BR35" t="s">
        <v>219</v>
      </c>
      <c r="BS35"/>
    </row>
    <row r="36" spans="1:76" s="22" customFormat="1" ht="45" hidden="1" x14ac:dyDescent="0.25">
      <c r="A36" s="45"/>
      <c r="B36" s="40" t="s">
        <v>33</v>
      </c>
      <c r="C36" t="s">
        <v>370</v>
      </c>
      <c r="D36" t="str">
        <f t="shared" ref="D36:D67" si="25">B36&amp;"-"&amp;C36</f>
        <v>18-Private</v>
      </c>
      <c r="E36" t="s">
        <v>650</v>
      </c>
      <c r="F36">
        <v>2</v>
      </c>
      <c r="G36">
        <f t="shared" ref="G36:G67" si="26">COUNTIF(F:F,F36)</f>
        <v>18</v>
      </c>
      <c r="H36" s="248" t="s">
        <v>423</v>
      </c>
      <c r="I36" s="248" t="s">
        <v>427</v>
      </c>
      <c r="J36" s="248" t="s">
        <v>586</v>
      </c>
      <c r="K36" s="61">
        <f t="shared" ref="K36:K67" si="27">AJ36*0.015</f>
        <v>0.6210804891592453</v>
      </c>
      <c r="L36" s="60">
        <f>IF(I36="Mechanical",(('Mob-Mech'!$E$47+'Demob-Mech'!$E$42)/G36),(('Mob-Hyd'!$E$47+'Demob-Hyd'!$E$42)/G36))</f>
        <v>37477.218453173329</v>
      </c>
      <c r="M36" s="56">
        <f t="shared" ref="M36:M67" si="28">IF(AX36&lt;0,AX36,(AVERAGE(AX$4:AX$106)))</f>
        <v>-3.17</v>
      </c>
      <c r="N36" s="56">
        <f t="shared" ref="N36:N67" si="29">M36*-1</f>
        <v>3.17</v>
      </c>
      <c r="O36" t="str">
        <f t="shared" ref="O36:O67" si="30">IF(M36=AX36,"Actual","Averaged")</f>
        <v>Actual</v>
      </c>
      <c r="P36" s="58">
        <f t="shared" ref="P36:P67" si="31">IF(O36="Actual",((ABS(((AP36+(AP36+(6*N36)))/2)*AX36*AM36))/27),((ABS(((AP36+(AP36+(6*N36)))/2)*N36*AM36))/27))</f>
        <v>7462.947844444443</v>
      </c>
      <c r="Q36" s="249">
        <v>1.1000000000000001</v>
      </c>
      <c r="R36" s="58">
        <f t="shared" ref="R36:R67" si="32">P36*Q36</f>
        <v>8209.2426288888873</v>
      </c>
      <c r="S36" s="58">
        <f>R36*'PrismQC Vols'!$G$14</f>
        <v>554.24779607572054</v>
      </c>
      <c r="T36" s="282">
        <f>IF(I36="Mechanical",S36/Prod!$D$21,S36/Prod!$D$11)</f>
        <v>0.84456807021062175</v>
      </c>
      <c r="U36" s="61">
        <f>IF(I36="Hydraulic",(T36*('DR-Hyd'!$O$13+'DR-Hyd'!$O$18+'DR-Hyd'!$O$24)/S36),(T36*('DR-Mech'!$O$13+'DR-Mech'!$O$18+'DR-Mech'!$O$24)/S36))</f>
        <v>15.253427281310476</v>
      </c>
      <c r="V36" s="61">
        <f>IF(I36="Hydraulic",(T36*'DR-Hyd'!$O$34)/S36,(T36*'DR-Mech'!$O$34)/S36)+5</f>
        <v>19.221610773333335</v>
      </c>
      <c r="W36" s="61">
        <f>IF(I36="Hydraulic",(Overhead!$F$39/S36)+((Overhead!$D$39/Table!G36)/S36),(Overhead!$K$39/S36)+((Overhead!I70/Table!G36)/S36))</f>
        <v>3.0774442022925808</v>
      </c>
      <c r="X36" s="61">
        <f t="shared" ref="X36:X67" si="33">IF(J36="pipeline",2,1)</f>
        <v>1</v>
      </c>
      <c r="Y36" s="61">
        <f>IF(H36="Upland",0,(IF(I36="Mechanical",(T36*'DR-Mech'!$O$24+'DR-Mech'!$O$34)/S36,(T36*'DR-Hyd'!$O$24+'DR-Hyd'!$O$34)/S36)))</f>
        <v>0</v>
      </c>
      <c r="Z36" s="301">
        <f t="shared" ref="Z36:Z67" si="34">SUM(U36:Y36)</f>
        <v>38.552482256936393</v>
      </c>
      <c r="AA36" s="301">
        <f t="shared" ref="AA36:AA67" si="35">Z36*1.15</f>
        <v>44.335354595476851</v>
      </c>
      <c r="AB36" s="302" t="str">
        <f t="shared" ref="AB36:AB67" si="36">BG36</f>
        <v>High</v>
      </c>
      <c r="AC36" s="303">
        <f t="shared" ref="AC36:AC67" si="37">IF(AB36="high",(AP36*AM36*0.05)/43560,(AP36*AM36*0.025)/43560)</f>
        <v>4.9449035812672175E-2</v>
      </c>
      <c r="AD36" s="404">
        <f t="shared" ref="AD36:AD67" si="38">AC36*(275000/2.47105)</f>
        <v>5503.1200698022494</v>
      </c>
      <c r="AE36" s="61">
        <f t="shared" ref="AE36:AE67" si="39">Z36*0.02</f>
        <v>0.77104964513872787</v>
      </c>
      <c r="AF36" s="61">
        <f t="shared" ref="AF36:AF67" si="40">Z36*0.024</f>
        <v>0.92525957416647342</v>
      </c>
      <c r="AG36" s="61">
        <f t="shared" ref="AG36:AG67" si="41">Z36*0.03</f>
        <v>1.1565744677080918</v>
      </c>
      <c r="AH36" s="301">
        <f t="shared" ref="AH36:AH67" si="42">SUM(AE36:AG36)</f>
        <v>2.8528836870132932</v>
      </c>
      <c r="AI36" s="301">
        <f t="shared" ref="AI36:AI67" si="43">AH36*1.15</f>
        <v>3.2808162400652869</v>
      </c>
      <c r="AJ36" s="310">
        <f t="shared" ref="AJ36:AJ67" si="44">Z36+AH36</f>
        <v>41.40536594394969</v>
      </c>
      <c r="AK36" s="311">
        <f t="shared" ref="AK36:AK67" si="45">AJ36*1.15</f>
        <v>47.616170835542142</v>
      </c>
      <c r="AL36" s="40" t="s">
        <v>33</v>
      </c>
      <c r="AM36" s="17">
        <v>2154</v>
      </c>
      <c r="AN36" s="17"/>
      <c r="AO36" s="19">
        <v>40</v>
      </c>
      <c r="AP36" s="19">
        <f t="shared" si="24"/>
        <v>20</v>
      </c>
      <c r="AQ36" s="20" t="s">
        <v>30</v>
      </c>
      <c r="AR36" s="20" t="s">
        <v>34</v>
      </c>
      <c r="AS36" s="16" t="s">
        <v>8</v>
      </c>
      <c r="AT36" s="19">
        <v>-3.4</v>
      </c>
      <c r="AU36" s="16"/>
      <c r="AV36" s="19"/>
      <c r="AW36" s="19">
        <f>AT36</f>
        <v>-3.4</v>
      </c>
      <c r="AX36" s="19">
        <f>AW36+(0.57-0.34)</f>
        <v>-3.17</v>
      </c>
      <c r="AY36" s="4"/>
      <c r="AZ36" s="4"/>
      <c r="BA36" s="20"/>
      <c r="BB36" s="20" t="s">
        <v>31</v>
      </c>
      <c r="BC36" s="20" t="s">
        <v>26</v>
      </c>
      <c r="BD36" s="20" t="s">
        <v>35</v>
      </c>
      <c r="BE36" s="20" t="s">
        <v>36</v>
      </c>
      <c r="BF36" s="16"/>
      <c r="BG36" s="16" t="s">
        <v>28</v>
      </c>
      <c r="BH36" s="20"/>
      <c r="BI36" s="16"/>
      <c r="BJ36" s="16"/>
      <c r="BK36" s="21" t="s">
        <v>14</v>
      </c>
      <c r="BL36" t="s">
        <v>370</v>
      </c>
      <c r="BM36">
        <v>2</v>
      </c>
      <c r="BN36">
        <v>1</v>
      </c>
      <c r="BO36" t="s">
        <v>371</v>
      </c>
      <c r="BP36" t="s">
        <v>372</v>
      </c>
      <c r="BQ36" t="s">
        <v>370</v>
      </c>
      <c r="BR36" t="s">
        <v>219</v>
      </c>
      <c r="BS36"/>
      <c r="BT36" s="1"/>
      <c r="BU36" s="1"/>
      <c r="BV36" s="1"/>
      <c r="BW36" s="1"/>
      <c r="BX36" s="1"/>
    </row>
    <row r="37" spans="1:76" ht="30" hidden="1" x14ac:dyDescent="0.25">
      <c r="B37" s="42" t="s">
        <v>37</v>
      </c>
      <c r="C37" t="s">
        <v>370</v>
      </c>
      <c r="D37" t="str">
        <f t="shared" si="25"/>
        <v>19-Private</v>
      </c>
      <c r="E37" t="s">
        <v>650</v>
      </c>
      <c r="F37">
        <v>2</v>
      </c>
      <c r="G37">
        <f t="shared" si="26"/>
        <v>18</v>
      </c>
      <c r="H37" s="248" t="s">
        <v>423</v>
      </c>
      <c r="I37" s="248" t="s">
        <v>427</v>
      </c>
      <c r="J37" s="248" t="s">
        <v>586</v>
      </c>
      <c r="K37" s="61">
        <f t="shared" si="27"/>
        <v>0.61095731667873776</v>
      </c>
      <c r="L37" s="60">
        <f>IF(I37="Mechanical",(('Mob-Mech'!$E$47+'Demob-Mech'!$E$42)/G37),(('Mob-Hyd'!$E$47+'Demob-Hyd'!$E$42)/G37))</f>
        <v>37477.218453173329</v>
      </c>
      <c r="M37" s="56">
        <f t="shared" si="28"/>
        <v>-4.5985714285714296</v>
      </c>
      <c r="N37" s="56">
        <f t="shared" si="29"/>
        <v>4.5985714285714296</v>
      </c>
      <c r="O37" t="str">
        <f t="shared" si="30"/>
        <v>Averaged</v>
      </c>
      <c r="P37" s="58">
        <f t="shared" si="31"/>
        <v>9377.7813122449006</v>
      </c>
      <c r="Q37" s="249">
        <v>1.1000000000000001</v>
      </c>
      <c r="R37" s="58">
        <f t="shared" si="32"/>
        <v>10315.559443469392</v>
      </c>
      <c r="S37" s="58">
        <f>R37*'PrismQC Vols'!$G$14</f>
        <v>696.45597593999219</v>
      </c>
      <c r="T37" s="282">
        <f>IF(I37="Mechanical",S37/Prod!$D$21,S37/Prod!$D$11)</f>
        <v>1.0612662490514166</v>
      </c>
      <c r="U37" s="61">
        <f>IF(I37="Hydraulic",(T37*('DR-Hyd'!$O$13+'DR-Hyd'!$O$18+'DR-Hyd'!$O$24)/S37),(T37*('DR-Mech'!$O$13+'DR-Mech'!$O$18+'DR-Mech'!$O$24)/S37))</f>
        <v>15.253427281310477</v>
      </c>
      <c r="V37" s="61">
        <f>IF(I37="Hydraulic",(T37*'DR-Hyd'!$O$34)/S37,(T37*'DR-Mech'!$O$34)/S37)+5</f>
        <v>19.221610773333332</v>
      </c>
      <c r="W37" s="61">
        <f>IF(I37="Hydraulic",(Overhead!$F$39/S37)+((Overhead!$D$39/Table!G37)/S37),(Overhead!$K$39/S37)+((Overhead!I71/Table!G37)/S37))</f>
        <v>2.4490660222486622</v>
      </c>
      <c r="X37" s="61">
        <f t="shared" si="33"/>
        <v>1</v>
      </c>
      <c r="Y37" s="61">
        <f>IF(H37="Upland",0,(IF(I37="Mechanical",(T37*'DR-Mech'!$O$24+'DR-Mech'!$O$34)/S37,(T37*'DR-Hyd'!$O$24+'DR-Hyd'!$O$34)/S37)))</f>
        <v>0</v>
      </c>
      <c r="Z37" s="301">
        <f t="shared" si="34"/>
        <v>37.924104076892476</v>
      </c>
      <c r="AA37" s="301">
        <f t="shared" si="35"/>
        <v>43.612719688426345</v>
      </c>
      <c r="AB37" s="302" t="str">
        <f t="shared" si="36"/>
        <v>High</v>
      </c>
      <c r="AC37" s="303">
        <f t="shared" si="37"/>
        <v>3.9178719008264466E-2</v>
      </c>
      <c r="AD37" s="404">
        <f t="shared" si="38"/>
        <v>4360.149623549798</v>
      </c>
      <c r="AE37" s="61">
        <f t="shared" si="39"/>
        <v>0.75848208153784957</v>
      </c>
      <c r="AF37" s="61">
        <f t="shared" si="40"/>
        <v>0.91017849784541949</v>
      </c>
      <c r="AG37" s="61">
        <f t="shared" si="41"/>
        <v>1.1377231223067743</v>
      </c>
      <c r="AH37" s="301">
        <f t="shared" si="42"/>
        <v>2.8063837016900433</v>
      </c>
      <c r="AI37" s="301">
        <f t="shared" si="43"/>
        <v>3.2273412569435496</v>
      </c>
      <c r="AJ37" s="310">
        <f t="shared" si="44"/>
        <v>40.730487778582521</v>
      </c>
      <c r="AK37" s="311">
        <f t="shared" si="45"/>
        <v>46.840060945369899</v>
      </c>
      <c r="AL37" s="42" t="s">
        <v>37</v>
      </c>
      <c r="AM37" s="14">
        <v>1517</v>
      </c>
      <c r="AN37" s="14"/>
      <c r="AO37" s="4">
        <v>45</v>
      </c>
      <c r="AP37" s="5">
        <f t="shared" si="24"/>
        <v>22.5</v>
      </c>
      <c r="AQ37" s="6" t="s">
        <v>34</v>
      </c>
      <c r="AR37" s="6" t="s">
        <v>38</v>
      </c>
      <c r="AS37" s="3" t="s">
        <v>8</v>
      </c>
      <c r="AT37" s="4">
        <v>-4.9000000000000004</v>
      </c>
      <c r="AU37" s="3"/>
      <c r="AV37" s="4"/>
      <c r="AW37" s="4"/>
      <c r="AX37" s="4"/>
      <c r="AY37" s="4"/>
      <c r="AZ37" s="4"/>
      <c r="BA37" s="6"/>
      <c r="BB37" s="6" t="s">
        <v>39</v>
      </c>
      <c r="BC37" s="6" t="s">
        <v>26</v>
      </c>
      <c r="BD37" s="6"/>
      <c r="BE37" s="6" t="s">
        <v>40</v>
      </c>
      <c r="BF37" s="3"/>
      <c r="BG37" s="3" t="s">
        <v>28</v>
      </c>
      <c r="BH37" s="6"/>
      <c r="BI37" s="3"/>
      <c r="BJ37" s="3"/>
      <c r="BK37" s="7" t="s">
        <v>14</v>
      </c>
      <c r="BL37" t="s">
        <v>370</v>
      </c>
      <c r="BM37">
        <v>2</v>
      </c>
      <c r="BN37">
        <v>1</v>
      </c>
      <c r="BO37" t="s">
        <v>91</v>
      </c>
      <c r="BP37" t="s">
        <v>372</v>
      </c>
      <c r="BQ37" t="s">
        <v>370</v>
      </c>
      <c r="BR37" t="s">
        <v>219</v>
      </c>
      <c r="BS37"/>
    </row>
    <row r="38" spans="1:76" ht="24" hidden="1" customHeight="1" x14ac:dyDescent="0.25">
      <c r="B38" s="42" t="s">
        <v>158</v>
      </c>
      <c r="C38" t="s">
        <v>370</v>
      </c>
      <c r="D38" t="str">
        <f t="shared" si="25"/>
        <v>20-Private</v>
      </c>
      <c r="E38" t="s">
        <v>650</v>
      </c>
      <c r="F38">
        <v>3</v>
      </c>
      <c r="G38">
        <f t="shared" si="26"/>
        <v>12</v>
      </c>
      <c r="H38" s="248" t="s">
        <v>423</v>
      </c>
      <c r="I38" s="248" t="s">
        <v>427</v>
      </c>
      <c r="J38" s="248" t="s">
        <v>586</v>
      </c>
      <c r="K38" s="61">
        <f t="shared" si="27"/>
        <v>0.87786116341972908</v>
      </c>
      <c r="L38" s="60">
        <f>IF(I38="Mechanical",(('Mob-Mech'!$E$47+'Demob-Mech'!$E$42)/G38),(('Mob-Hyd'!$E$47+'Demob-Hyd'!$E$42)/G38))</f>
        <v>56215.827679759997</v>
      </c>
      <c r="M38" s="56">
        <f t="shared" si="28"/>
        <v>-4.5985714285714296</v>
      </c>
      <c r="N38" s="56">
        <f t="shared" si="29"/>
        <v>4.5985714285714296</v>
      </c>
      <c r="O38" t="str">
        <f t="shared" si="30"/>
        <v>Averaged</v>
      </c>
      <c r="P38" s="58">
        <f t="shared" si="31"/>
        <v>1207.7206244897966</v>
      </c>
      <c r="Q38" s="249">
        <v>1.1000000000000001</v>
      </c>
      <c r="R38" s="58">
        <f t="shared" si="32"/>
        <v>1328.4926869387764</v>
      </c>
      <c r="S38" s="58">
        <f>R38*'PrismQC Vols'!$G$14</f>
        <v>89.693309982992716</v>
      </c>
      <c r="T38" s="282">
        <f>IF(I38="Mechanical",S38/Prod!$D$21,S38/Prod!$D$11)</f>
        <v>0.13667551997408414</v>
      </c>
      <c r="U38" s="61">
        <f>IF(I38="Hydraulic",(T38*('DR-Hyd'!$O$13+'DR-Hyd'!$O$18+'DR-Hyd'!$O$24)/S38),(T38*('DR-Mech'!$O$13+'DR-Mech'!$O$18+'DR-Mech'!$O$24)/S38))</f>
        <v>15.253427281310477</v>
      </c>
      <c r="V38" s="61">
        <f>IF(I38="Hydraulic",(T38*'DR-Hyd'!$O$34)/S38,(T38*'DR-Mech'!$O$34)/S38)+5</f>
        <v>19.221610773333335</v>
      </c>
      <c r="W38" s="61">
        <f>IF(I38="Hydraulic",(Overhead!$F$39/S38)+((Overhead!$D$39/Table!G38)/S38),(Overhead!$K$39/S38)+((Overhead!I72/Table!G38)/S38))</f>
        <v>19.016654274327578</v>
      </c>
      <c r="X38" s="61">
        <f t="shared" si="33"/>
        <v>1</v>
      </c>
      <c r="Y38" s="61">
        <f>IF(H38="Upland",0,(IF(I38="Mechanical",(T38*'DR-Mech'!$O$24+'DR-Mech'!$O$34)/S38,(T38*'DR-Hyd'!$O$24+'DR-Hyd'!$O$34)/S38)))</f>
        <v>0</v>
      </c>
      <c r="Z38" s="301">
        <f t="shared" si="34"/>
        <v>54.491692328971389</v>
      </c>
      <c r="AA38" s="301">
        <f t="shared" si="35"/>
        <v>62.66544617831709</v>
      </c>
      <c r="AB38" s="302" t="str">
        <f t="shared" si="36"/>
        <v>High</v>
      </c>
      <c r="AC38" s="303">
        <f t="shared" si="37"/>
        <v>0</v>
      </c>
      <c r="AD38" s="404">
        <f t="shared" si="38"/>
        <v>0</v>
      </c>
      <c r="AE38" s="61">
        <f t="shared" si="39"/>
        <v>1.0898338465794277</v>
      </c>
      <c r="AF38" s="61">
        <f t="shared" si="40"/>
        <v>1.3078006158953133</v>
      </c>
      <c r="AG38" s="61">
        <f t="shared" si="41"/>
        <v>1.6347507698691417</v>
      </c>
      <c r="AH38" s="301">
        <f t="shared" si="42"/>
        <v>4.0323852323438825</v>
      </c>
      <c r="AI38" s="301">
        <f t="shared" si="43"/>
        <v>4.6372430171954644</v>
      </c>
      <c r="AJ38" s="310">
        <f t="shared" si="44"/>
        <v>58.524077561315273</v>
      </c>
      <c r="AK38" s="311">
        <f t="shared" si="45"/>
        <v>67.302689195512556</v>
      </c>
      <c r="AL38" s="42" t="s">
        <v>158</v>
      </c>
      <c r="AM38" s="14">
        <v>514</v>
      </c>
      <c r="AN38" s="14"/>
      <c r="AO38" s="4"/>
      <c r="AP38" s="5">
        <f t="shared" si="24"/>
        <v>0</v>
      </c>
      <c r="AQ38" s="6" t="s">
        <v>159</v>
      </c>
      <c r="AR38" s="6" t="s">
        <v>43</v>
      </c>
      <c r="AS38" s="3" t="s">
        <v>51</v>
      </c>
      <c r="AT38" s="4"/>
      <c r="AU38" s="3" t="s">
        <v>51</v>
      </c>
      <c r="AV38" s="4"/>
      <c r="AW38" s="4"/>
      <c r="AX38" s="4"/>
      <c r="AY38" s="19"/>
      <c r="AZ38" s="19"/>
      <c r="BA38" s="6" t="s">
        <v>9</v>
      </c>
      <c r="BB38" s="6" t="s">
        <v>160</v>
      </c>
      <c r="BC38" s="6"/>
      <c r="BD38" s="6" t="s">
        <v>141</v>
      </c>
      <c r="BE38" s="6"/>
      <c r="BF38" s="3"/>
      <c r="BG38" s="3" t="s">
        <v>28</v>
      </c>
      <c r="BH38" s="6"/>
      <c r="BI38" s="3"/>
      <c r="BJ38" s="3" t="s">
        <v>160</v>
      </c>
      <c r="BK38" s="7" t="s">
        <v>14</v>
      </c>
      <c r="BL38" t="s">
        <v>370</v>
      </c>
      <c r="BM38">
        <v>3</v>
      </c>
      <c r="BN38">
        <v>1</v>
      </c>
      <c r="BO38" t="s">
        <v>219</v>
      </c>
      <c r="BP38" t="s">
        <v>373</v>
      </c>
      <c r="BQ38" t="s">
        <v>373</v>
      </c>
      <c r="BR38" t="s">
        <v>219</v>
      </c>
      <c r="BS38"/>
    </row>
    <row r="39" spans="1:76" ht="26.45" hidden="1" customHeight="1" x14ac:dyDescent="0.25">
      <c r="B39" s="42" t="s">
        <v>194</v>
      </c>
      <c r="C39" t="s">
        <v>378</v>
      </c>
      <c r="D39" t="str">
        <f t="shared" si="25"/>
        <v>20A-Access</v>
      </c>
      <c r="E39" t="s">
        <v>651</v>
      </c>
      <c r="F39">
        <v>3</v>
      </c>
      <c r="G39">
        <f t="shared" si="26"/>
        <v>12</v>
      </c>
      <c r="H39" s="248" t="s">
        <v>423</v>
      </c>
      <c r="I39" s="248" t="s">
        <v>427</v>
      </c>
      <c r="J39" s="248" t="s">
        <v>586</v>
      </c>
      <c r="K39" s="61">
        <f t="shared" si="27"/>
        <v>0.62712563945986599</v>
      </c>
      <c r="L39" s="60">
        <f>IF(I39="Mechanical",(('Mob-Mech'!$E$47+'Demob-Mech'!$E$42)/G39),(('Mob-Hyd'!$E$47+'Demob-Hyd'!$E$42)/G39))</f>
        <v>56215.827679759997</v>
      </c>
      <c r="M39" s="56">
        <f t="shared" si="28"/>
        <v>-4.5985714285714296</v>
      </c>
      <c r="N39" s="56">
        <f t="shared" si="29"/>
        <v>4.5985714285714296</v>
      </c>
      <c r="O39" t="str">
        <f t="shared" si="30"/>
        <v>Averaged</v>
      </c>
      <c r="P39" s="58">
        <f t="shared" si="31"/>
        <v>6651.8656884353768</v>
      </c>
      <c r="Q39" s="249">
        <v>1.1000000000000001</v>
      </c>
      <c r="R39" s="58">
        <f t="shared" si="32"/>
        <v>7317.052257278915</v>
      </c>
      <c r="S39" s="58">
        <f>R39*'PrismQC Vols'!$G$14</f>
        <v>494.01147836662454</v>
      </c>
      <c r="T39" s="282">
        <f>IF(I39="Mechanical",S39/Prod!$D$21,S39/Prod!$D$11)</f>
        <v>0.75277939560628504</v>
      </c>
      <c r="U39" s="61">
        <f>IF(I39="Hydraulic",(T39*('DR-Hyd'!$O$13+'DR-Hyd'!$O$18+'DR-Hyd'!$O$24)/S39),(T39*('DR-Mech'!$O$13+'DR-Mech'!$O$18+'DR-Mech'!$O$24)/S39))</f>
        <v>15.253427281310477</v>
      </c>
      <c r="V39" s="61">
        <f>IF(I39="Hydraulic",(T39*'DR-Hyd'!$O$34)/S39,(T39*'DR-Mech'!$O$34)/S39)+5</f>
        <v>19.221610773333335</v>
      </c>
      <c r="W39" s="61">
        <f>IF(I39="Hydraulic",(Overhead!$F$39/S39)+((Overhead!$D$39/Table!G39)/S39),(Overhead!$K$39/S39)+((Overhead!I73/Table!G39)/S39))</f>
        <v>3.45268630661417</v>
      </c>
      <c r="X39" s="61">
        <f t="shared" si="33"/>
        <v>1</v>
      </c>
      <c r="Y39" s="61">
        <f>IF(H39="Upland",0,(IF(I39="Mechanical",(T39*'DR-Mech'!$O$24+'DR-Mech'!$O$34)/S39,(T39*'DR-Hyd'!$O$24+'DR-Hyd'!$O$34)/S39)))</f>
        <v>0</v>
      </c>
      <c r="Z39" s="301">
        <f t="shared" si="34"/>
        <v>38.92772436125798</v>
      </c>
      <c r="AA39" s="301">
        <f t="shared" si="35"/>
        <v>44.766883015446673</v>
      </c>
      <c r="AB39" s="302" t="str">
        <f t="shared" si="36"/>
        <v>High</v>
      </c>
      <c r="AC39" s="303">
        <f t="shared" si="37"/>
        <v>3.3333333333333333E-2</v>
      </c>
      <c r="AD39" s="404">
        <f t="shared" si="38"/>
        <v>3709.6241139056947</v>
      </c>
      <c r="AE39" s="61">
        <f t="shared" si="39"/>
        <v>0.77855448722515963</v>
      </c>
      <c r="AF39" s="61">
        <f t="shared" si="40"/>
        <v>0.93426538467019149</v>
      </c>
      <c r="AG39" s="61">
        <f t="shared" si="41"/>
        <v>1.1678317308377393</v>
      </c>
      <c r="AH39" s="301">
        <f t="shared" si="42"/>
        <v>2.8806516027330904</v>
      </c>
      <c r="AI39" s="301">
        <f t="shared" si="43"/>
        <v>3.3127493431430537</v>
      </c>
      <c r="AJ39" s="310">
        <f t="shared" si="44"/>
        <v>41.808375963991068</v>
      </c>
      <c r="AK39" s="311">
        <f t="shared" si="45"/>
        <v>48.079632358589727</v>
      </c>
      <c r="AL39" s="42"/>
      <c r="AM39" s="14">
        <v>726</v>
      </c>
      <c r="AN39" s="14"/>
      <c r="AO39" s="8">
        <v>80</v>
      </c>
      <c r="AP39" s="5">
        <f t="shared" si="24"/>
        <v>40</v>
      </c>
      <c r="AQ39" s="6"/>
      <c r="AR39" s="6"/>
      <c r="AS39" s="3"/>
      <c r="AT39" s="4"/>
      <c r="AU39" s="3"/>
      <c r="AV39" s="4"/>
      <c r="AW39" s="4"/>
      <c r="AX39" s="4"/>
      <c r="AY39" s="4"/>
      <c r="AZ39" s="4"/>
      <c r="BA39" s="6"/>
      <c r="BB39" s="6" t="s">
        <v>195</v>
      </c>
      <c r="BC39" s="6" t="s">
        <v>196</v>
      </c>
      <c r="BD39" s="6"/>
      <c r="BE39" s="6"/>
      <c r="BF39" s="3"/>
      <c r="BG39" s="3" t="s">
        <v>28</v>
      </c>
      <c r="BH39" s="6"/>
      <c r="BI39" s="3"/>
      <c r="BJ39" s="3" t="s">
        <v>195</v>
      </c>
      <c r="BK39" s="7" t="s">
        <v>14</v>
      </c>
      <c r="BL39" t="s">
        <v>378</v>
      </c>
      <c r="BM39">
        <v>3</v>
      </c>
      <c r="BN39">
        <v>1</v>
      </c>
      <c r="BO39" t="s">
        <v>371</v>
      </c>
      <c r="BP39" t="s">
        <v>373</v>
      </c>
      <c r="BQ39" t="s">
        <v>373</v>
      </c>
      <c r="BR39" t="s">
        <v>219</v>
      </c>
      <c r="BS39"/>
      <c r="BT39" s="38"/>
      <c r="BU39" s="38"/>
      <c r="BV39" s="38"/>
      <c r="BW39" s="38"/>
      <c r="BX39" s="38"/>
    </row>
    <row r="40" spans="1:76" s="22" customFormat="1" ht="30" hidden="1" x14ac:dyDescent="0.25">
      <c r="A40" s="45"/>
      <c r="B40" s="40" t="s">
        <v>243</v>
      </c>
      <c r="C40" t="s">
        <v>370</v>
      </c>
      <c r="D40" t="str">
        <f t="shared" si="25"/>
        <v>20P-Private</v>
      </c>
      <c r="E40" t="s">
        <v>650</v>
      </c>
      <c r="F40">
        <v>3</v>
      </c>
      <c r="G40">
        <f t="shared" si="26"/>
        <v>12</v>
      </c>
      <c r="H40" s="248" t="s">
        <v>423</v>
      </c>
      <c r="I40" s="248" t="s">
        <v>427</v>
      </c>
      <c r="J40" s="248" t="s">
        <v>586</v>
      </c>
      <c r="K40" s="61">
        <f t="shared" si="27"/>
        <v>0.61377740794539271</v>
      </c>
      <c r="L40" s="60">
        <f>IF(I40="Mechanical",(('Mob-Mech'!$E$47+'Demob-Mech'!$E$42)/G40),(('Mob-Hyd'!$E$47+'Demob-Hyd'!$E$42)/G40))</f>
        <v>56215.827679759997</v>
      </c>
      <c r="M40" s="56">
        <f t="shared" si="28"/>
        <v>-4.5985714285714296</v>
      </c>
      <c r="N40" s="56">
        <f t="shared" si="29"/>
        <v>4.5985714285714296</v>
      </c>
      <c r="O40" t="str">
        <f t="shared" si="30"/>
        <v>Averaged</v>
      </c>
      <c r="P40" s="58">
        <f t="shared" si="31"/>
        <v>8752.1991977324287</v>
      </c>
      <c r="Q40" s="249">
        <v>1.1000000000000001</v>
      </c>
      <c r="R40" s="58">
        <f t="shared" si="32"/>
        <v>9627.4191175056731</v>
      </c>
      <c r="S40" s="58">
        <f>R40*'PrismQC Vols'!$G$14</f>
        <v>649.99611645014761</v>
      </c>
      <c r="T40" s="282">
        <f>IF(I40="Mechanical",S40/Prod!$D$21,S40/Prod!$D$11)</f>
        <v>0.99047027268593923</v>
      </c>
      <c r="U40" s="61">
        <f>IF(I40="Hydraulic",(T40*('DR-Hyd'!$O$13+'DR-Hyd'!$O$18+'DR-Hyd'!$O$24)/S40),(T40*('DR-Mech'!$O$13+'DR-Mech'!$O$18+'DR-Mech'!$O$24)/S40))</f>
        <v>15.253427281310477</v>
      </c>
      <c r="V40" s="61">
        <f>IF(I40="Hydraulic",(T40*'DR-Hyd'!$O$34)/S40,(T40*'DR-Mech'!$O$34)/S40)+5</f>
        <v>19.221610773333335</v>
      </c>
      <c r="W40" s="61">
        <f>IF(I40="Hydraulic",(Overhead!$F$39/S40)+((Overhead!$D$39/Table!G40)/S40),(Overhead!$K$39/S40)+((Overhead!I74/Table!G40)/S40))</f>
        <v>2.6241182424010456</v>
      </c>
      <c r="X40" s="61">
        <f t="shared" si="33"/>
        <v>1</v>
      </c>
      <c r="Y40" s="61">
        <f>IF(H40="Upland",0,(IF(I40="Mechanical",(T40*'DR-Mech'!$O$24+'DR-Mech'!$O$34)/S40,(T40*'DR-Hyd'!$O$24+'DR-Hyd'!$O$34)/S40)))</f>
        <v>0</v>
      </c>
      <c r="Z40" s="301">
        <f t="shared" si="34"/>
        <v>38.099156297044857</v>
      </c>
      <c r="AA40" s="301">
        <f t="shared" si="35"/>
        <v>43.81402974160158</v>
      </c>
      <c r="AB40" s="302" t="str">
        <f t="shared" si="36"/>
        <v>High</v>
      </c>
      <c r="AC40" s="303">
        <f t="shared" si="37"/>
        <v>3.2983241505968777E-2</v>
      </c>
      <c r="AD40" s="404">
        <f t="shared" si="38"/>
        <v>3670.6628413595085</v>
      </c>
      <c r="AE40" s="61">
        <f t="shared" si="39"/>
        <v>0.76198312594089712</v>
      </c>
      <c r="AF40" s="61">
        <f t="shared" si="40"/>
        <v>0.91437975112907655</v>
      </c>
      <c r="AG40" s="61">
        <f t="shared" si="41"/>
        <v>1.1429746889113457</v>
      </c>
      <c r="AH40" s="301">
        <f t="shared" si="42"/>
        <v>2.8193375659813196</v>
      </c>
      <c r="AI40" s="301">
        <f t="shared" si="43"/>
        <v>3.2422382008785173</v>
      </c>
      <c r="AJ40" s="310">
        <f t="shared" si="44"/>
        <v>40.918493863026178</v>
      </c>
      <c r="AK40" s="311">
        <f t="shared" si="45"/>
        <v>47.056267942480105</v>
      </c>
      <c r="AL40" s="40"/>
      <c r="AM40" s="17">
        <v>1642</v>
      </c>
      <c r="AN40" s="17"/>
      <c r="AO40" s="19">
        <v>35</v>
      </c>
      <c r="AP40" s="19">
        <f t="shared" si="24"/>
        <v>17.5</v>
      </c>
      <c r="AQ40" s="20"/>
      <c r="AR40" s="20"/>
      <c r="AS40" s="16"/>
      <c r="AT40" s="19"/>
      <c r="AU40" s="16"/>
      <c r="AV40" s="19"/>
      <c r="AW40" s="19"/>
      <c r="AX40" s="19"/>
      <c r="AY40" s="19"/>
      <c r="AZ40" s="19"/>
      <c r="BA40" s="20"/>
      <c r="BB40" s="20" t="s">
        <v>244</v>
      </c>
      <c r="BC40" s="20" t="s">
        <v>10</v>
      </c>
      <c r="BD40" s="20" t="s">
        <v>245</v>
      </c>
      <c r="BE40" s="20" t="s">
        <v>230</v>
      </c>
      <c r="BF40" s="16"/>
      <c r="BG40" s="16" t="s">
        <v>28</v>
      </c>
      <c r="BH40" s="20"/>
      <c r="BI40" s="16"/>
      <c r="BJ40" s="16"/>
      <c r="BK40" s="21" t="s">
        <v>14</v>
      </c>
      <c r="BL40" t="s">
        <v>375</v>
      </c>
      <c r="BM40">
        <v>3</v>
      </c>
      <c r="BN40">
        <v>1</v>
      </c>
      <c r="BO40" t="s">
        <v>371</v>
      </c>
      <c r="BP40" t="s">
        <v>372</v>
      </c>
      <c r="BQ40" t="s">
        <v>373</v>
      </c>
      <c r="BR40" t="s">
        <v>219</v>
      </c>
      <c r="BS40"/>
      <c r="BT40" s="1"/>
      <c r="BU40" s="1"/>
      <c r="BV40" s="1"/>
      <c r="BW40" s="1"/>
      <c r="BX40" s="1"/>
    </row>
    <row r="41" spans="1:76" hidden="1" x14ac:dyDescent="0.25">
      <c r="B41" s="42" t="s">
        <v>206</v>
      </c>
      <c r="C41" t="s">
        <v>370</v>
      </c>
      <c r="D41" t="str">
        <f t="shared" si="25"/>
        <v>21-Private</v>
      </c>
      <c r="E41" t="s">
        <v>650</v>
      </c>
      <c r="F41">
        <v>3</v>
      </c>
      <c r="G41">
        <f t="shared" si="26"/>
        <v>12</v>
      </c>
      <c r="H41" s="248" t="s">
        <v>423</v>
      </c>
      <c r="I41" s="248" t="s">
        <v>427</v>
      </c>
      <c r="J41" s="248" t="s">
        <v>586</v>
      </c>
      <c r="K41" s="61">
        <f t="shared" si="27"/>
        <v>1.0486791248322525</v>
      </c>
      <c r="L41" s="60">
        <f>IF(I41="Mechanical",(('Mob-Mech'!$E$47+'Demob-Mech'!$E$42)/G41),(('Mob-Hyd'!$E$47+'Demob-Hyd'!$E$42)/G41))</f>
        <v>56215.827679759997</v>
      </c>
      <c r="M41" s="56">
        <f t="shared" si="28"/>
        <v>-4.5985714285714296</v>
      </c>
      <c r="N41" s="56">
        <f t="shared" si="29"/>
        <v>4.5985714285714296</v>
      </c>
      <c r="O41" t="str">
        <f t="shared" si="30"/>
        <v>Averaged</v>
      </c>
      <c r="P41" s="58">
        <f t="shared" si="31"/>
        <v>775.38483673469432</v>
      </c>
      <c r="Q41" s="249">
        <v>1.1000000000000001</v>
      </c>
      <c r="R41" s="58">
        <f t="shared" si="32"/>
        <v>852.92332040816382</v>
      </c>
      <c r="S41" s="58">
        <f>R41*'PrismQC Vols'!$G$14</f>
        <v>57.585199016318278</v>
      </c>
      <c r="T41" s="282">
        <f>IF(I41="Mechanical",S41/Prod!$D$21,S41/Prod!$D$11)</f>
        <v>8.7748874691532613E-2</v>
      </c>
      <c r="U41" s="61">
        <f>IF(I41="Hydraulic",(T41*('DR-Hyd'!$O$13+'DR-Hyd'!$O$18+'DR-Hyd'!$O$24)/S41),(T41*('DR-Mech'!$O$13+'DR-Mech'!$O$18+'DR-Mech'!$O$24)/S41))</f>
        <v>15.253427281310477</v>
      </c>
      <c r="V41" s="61">
        <f>IF(I41="Hydraulic",(T41*'DR-Hyd'!$O$34)/S41,(T41*'DR-Mech'!$O$34)/S41)+5</f>
        <v>19.221610773333332</v>
      </c>
      <c r="W41" s="61">
        <f>IF(I41="Hydraulic",(Overhead!$F$39/S41)+((Overhead!$D$39/Table!G41)/S41),(Overhead!$K$39/S41)+((Overhead!I75/Table!G41)/S41))</f>
        <v>29.619879687892045</v>
      </c>
      <c r="X41" s="61">
        <f t="shared" si="33"/>
        <v>1</v>
      </c>
      <c r="Y41" s="61">
        <f>IF(H41="Upland",0,(IF(I41="Mechanical",(T41*'DR-Mech'!$O$24+'DR-Mech'!$O$34)/S41,(T41*'DR-Hyd'!$O$24+'DR-Hyd'!$O$34)/S41)))</f>
        <v>0</v>
      </c>
      <c r="Z41" s="301">
        <f t="shared" si="34"/>
        <v>65.094917742535856</v>
      </c>
      <c r="AA41" s="301">
        <f t="shared" si="35"/>
        <v>74.859155403916233</v>
      </c>
      <c r="AB41" s="302" t="str">
        <f t="shared" si="36"/>
        <v>Moderate</v>
      </c>
      <c r="AC41" s="303">
        <f t="shared" si="37"/>
        <v>0</v>
      </c>
      <c r="AD41" s="404">
        <f t="shared" si="38"/>
        <v>0</v>
      </c>
      <c r="AE41" s="61">
        <f t="shared" si="39"/>
        <v>1.301898354850717</v>
      </c>
      <c r="AF41" s="61">
        <f t="shared" si="40"/>
        <v>1.5622780258208606</v>
      </c>
      <c r="AG41" s="61">
        <f t="shared" si="41"/>
        <v>1.9528475322760757</v>
      </c>
      <c r="AH41" s="301">
        <f t="shared" si="42"/>
        <v>4.8170239129476533</v>
      </c>
      <c r="AI41" s="301">
        <f t="shared" si="43"/>
        <v>5.5395774998898011</v>
      </c>
      <c r="AJ41" s="310">
        <f t="shared" si="44"/>
        <v>69.911941655483503</v>
      </c>
      <c r="AK41" s="311">
        <f t="shared" si="45"/>
        <v>80.398732903806021</v>
      </c>
      <c r="AL41" s="42" t="s">
        <v>206</v>
      </c>
      <c r="AM41" s="14">
        <v>330</v>
      </c>
      <c r="AN41" s="14"/>
      <c r="AO41" s="4"/>
      <c r="AP41" s="5">
        <f t="shared" si="24"/>
        <v>0</v>
      </c>
      <c r="AQ41" s="6" t="s">
        <v>207</v>
      </c>
      <c r="AR41" s="6" t="s">
        <v>43</v>
      </c>
      <c r="AS41" s="3" t="s">
        <v>51</v>
      </c>
      <c r="AT41" s="4"/>
      <c r="AU41" s="3" t="s">
        <v>51</v>
      </c>
      <c r="AV41" s="4"/>
      <c r="AW41" s="4"/>
      <c r="AX41" s="4"/>
      <c r="AY41" s="19"/>
      <c r="AZ41" s="19"/>
      <c r="BA41" s="6" t="s">
        <v>9</v>
      </c>
      <c r="BB41" s="6" t="s">
        <v>160</v>
      </c>
      <c r="BC41" s="6"/>
      <c r="BD41" s="6" t="s">
        <v>141</v>
      </c>
      <c r="BE41" s="6"/>
      <c r="BF41" s="3"/>
      <c r="BG41" s="3" t="s">
        <v>13</v>
      </c>
      <c r="BH41" s="6"/>
      <c r="BI41" s="3"/>
      <c r="BJ41" s="3" t="s">
        <v>160</v>
      </c>
      <c r="BK41" s="7" t="s">
        <v>14</v>
      </c>
      <c r="BL41" t="s">
        <v>370</v>
      </c>
      <c r="BM41">
        <v>3</v>
      </c>
      <c r="BN41">
        <v>1</v>
      </c>
      <c r="BO41" t="s">
        <v>219</v>
      </c>
      <c r="BP41" t="s">
        <v>372</v>
      </c>
      <c r="BQ41" t="s">
        <v>373</v>
      </c>
      <c r="BR41" t="s">
        <v>219</v>
      </c>
      <c r="BS41"/>
      <c r="BT41" s="27"/>
      <c r="BU41" s="27"/>
      <c r="BV41" s="27"/>
      <c r="BW41" s="27"/>
      <c r="BX41" s="27"/>
    </row>
    <row r="42" spans="1:76" s="22" customFormat="1" hidden="1" x14ac:dyDescent="0.25">
      <c r="A42" s="45"/>
      <c r="B42" s="40" t="s">
        <v>161</v>
      </c>
      <c r="C42" t="s">
        <v>378</v>
      </c>
      <c r="D42" t="str">
        <f t="shared" si="25"/>
        <v>21A-Access</v>
      </c>
      <c r="E42" t="s">
        <v>651</v>
      </c>
      <c r="F42">
        <v>3</v>
      </c>
      <c r="G42">
        <f t="shared" si="26"/>
        <v>12</v>
      </c>
      <c r="H42" s="248" t="s">
        <v>423</v>
      </c>
      <c r="I42" s="248" t="s">
        <v>427</v>
      </c>
      <c r="J42" s="248" t="s">
        <v>586</v>
      </c>
      <c r="K42" s="61">
        <f t="shared" si="27"/>
        <v>0.64356915733578102</v>
      </c>
      <c r="L42" s="60">
        <f>IF(I42="Mechanical",(('Mob-Mech'!$E$47+'Demob-Mech'!$E$42)/G42),(('Mob-Hyd'!$E$47+'Demob-Hyd'!$E$42)/G42))</f>
        <v>56215.827679759997</v>
      </c>
      <c r="M42" s="56">
        <f t="shared" si="28"/>
        <v>-4.5985714285714296</v>
      </c>
      <c r="N42" s="56">
        <f t="shared" si="29"/>
        <v>4.5985714285714296</v>
      </c>
      <c r="O42" t="str">
        <f t="shared" si="30"/>
        <v>Averaged</v>
      </c>
      <c r="P42" s="58">
        <f t="shared" si="31"/>
        <v>5134.0955095238114</v>
      </c>
      <c r="Q42" s="249">
        <v>1.1000000000000001</v>
      </c>
      <c r="R42" s="58">
        <f t="shared" si="32"/>
        <v>5647.5050604761927</v>
      </c>
      <c r="S42" s="58">
        <f>R42*'PrismQC Vols'!$G$14</f>
        <v>381.29184074549232</v>
      </c>
      <c r="T42" s="282">
        <f>IF(I42="Mechanical",S42/Prod!$D$21,S42/Prod!$D$11)</f>
        <v>0.58101613827884546</v>
      </c>
      <c r="U42" s="61">
        <f>IF(I42="Hydraulic",(T42*('DR-Hyd'!$O$13+'DR-Hyd'!$O$18+'DR-Hyd'!$O$24)/S42),(T42*('DR-Mech'!$O$13+'DR-Mech'!$O$18+'DR-Mech'!$O$24)/S42))</f>
        <v>15.253427281310477</v>
      </c>
      <c r="V42" s="61">
        <f>IF(I42="Hydraulic",(T42*'DR-Hyd'!$O$34)/S42,(T42*'DR-Mech'!$O$34)/S42)+5</f>
        <v>19.221610773333335</v>
      </c>
      <c r="W42" s="61">
        <f>IF(I42="Hydraulic",(Overhead!$F$39/S42)+((Overhead!$D$39/Table!G42)/S42),(Overhead!$K$39/S42)+((Overhead!I76/Table!G42)/S42))</f>
        <v>4.4733888439149121</v>
      </c>
      <c r="X42" s="61">
        <f t="shared" si="33"/>
        <v>1</v>
      </c>
      <c r="Y42" s="61">
        <f>IF(H42="Upland",0,(IF(I42="Mechanical",(T42*'DR-Mech'!$O$24+'DR-Mech'!$O$34)/S42,(T42*'DR-Hyd'!$O$24+'DR-Hyd'!$O$34)/S42)))</f>
        <v>0</v>
      </c>
      <c r="Z42" s="301">
        <f t="shared" si="34"/>
        <v>39.948426898558722</v>
      </c>
      <c r="AA42" s="301">
        <f t="shared" si="35"/>
        <v>45.94069093334253</v>
      </c>
      <c r="AB42" s="302" t="str">
        <f t="shared" si="36"/>
        <v>High</v>
      </c>
      <c r="AC42" s="303">
        <f t="shared" si="37"/>
        <v>2.2296831955922865E-2</v>
      </c>
      <c r="AD42" s="404">
        <f t="shared" si="38"/>
        <v>2481.3859646218361</v>
      </c>
      <c r="AE42" s="61">
        <f t="shared" si="39"/>
        <v>0.79896853797117451</v>
      </c>
      <c r="AF42" s="61">
        <f t="shared" si="40"/>
        <v>0.95876224556540934</v>
      </c>
      <c r="AG42" s="61">
        <f t="shared" si="41"/>
        <v>1.1984528069567617</v>
      </c>
      <c r="AH42" s="301">
        <f t="shared" si="42"/>
        <v>2.9561835904933456</v>
      </c>
      <c r="AI42" s="301">
        <f t="shared" si="43"/>
        <v>3.3996111290673472</v>
      </c>
      <c r="AJ42" s="310">
        <f t="shared" si="44"/>
        <v>42.904610489052068</v>
      </c>
      <c r="AK42" s="311">
        <f t="shared" si="45"/>
        <v>49.340302062409876</v>
      </c>
      <c r="AL42" s="40"/>
      <c r="AM42" s="17">
        <v>777</v>
      </c>
      <c r="AN42" s="17"/>
      <c r="AO42" s="19">
        <v>50</v>
      </c>
      <c r="AP42" s="19">
        <f t="shared" si="24"/>
        <v>25</v>
      </c>
      <c r="AQ42" s="20"/>
      <c r="AR42" s="20"/>
      <c r="AS42" s="16"/>
      <c r="AT42" s="19"/>
      <c r="AU42" s="16"/>
      <c r="AV42" s="19"/>
      <c r="AW42" s="19"/>
      <c r="AX42" s="19"/>
      <c r="AY42" s="4"/>
      <c r="AZ42" s="4"/>
      <c r="BA42" s="20"/>
      <c r="BB42" s="20"/>
      <c r="BC42" s="20" t="s">
        <v>10</v>
      </c>
      <c r="BD42" s="20" t="s">
        <v>162</v>
      </c>
      <c r="BE42" s="20" t="s">
        <v>93</v>
      </c>
      <c r="BF42" s="16"/>
      <c r="BG42" s="16" t="s">
        <v>28</v>
      </c>
      <c r="BH42" s="20"/>
      <c r="BI42" s="16"/>
      <c r="BJ42" s="16"/>
      <c r="BK42" s="21" t="s">
        <v>14</v>
      </c>
      <c r="BL42" t="s">
        <v>378</v>
      </c>
      <c r="BM42">
        <v>3</v>
      </c>
      <c r="BN42">
        <v>1</v>
      </c>
      <c r="BO42" t="s">
        <v>91</v>
      </c>
      <c r="BP42" t="s">
        <v>373</v>
      </c>
      <c r="BQ42" t="s">
        <v>373</v>
      </c>
      <c r="BR42" t="s">
        <v>384</v>
      </c>
      <c r="BS42"/>
      <c r="BT42" s="27"/>
      <c r="BU42" s="27"/>
      <c r="BV42" s="27"/>
      <c r="BW42" s="27"/>
      <c r="BX42" s="27"/>
    </row>
    <row r="43" spans="1:76" s="22" customFormat="1" ht="45" hidden="1" x14ac:dyDescent="0.25">
      <c r="A43" s="45"/>
      <c r="B43" s="40" t="s">
        <v>237</v>
      </c>
      <c r="C43" t="s">
        <v>370</v>
      </c>
      <c r="D43" t="str">
        <f t="shared" si="25"/>
        <v>21P-Private</v>
      </c>
      <c r="E43" t="s">
        <v>650</v>
      </c>
      <c r="F43">
        <v>3</v>
      </c>
      <c r="G43">
        <f t="shared" si="26"/>
        <v>12</v>
      </c>
      <c r="H43" s="248" t="s">
        <v>423</v>
      </c>
      <c r="I43" s="248" t="s">
        <v>427</v>
      </c>
      <c r="J43" s="248" t="s">
        <v>586</v>
      </c>
      <c r="K43" s="61">
        <f t="shared" si="27"/>
        <v>0.59310680561626938</v>
      </c>
      <c r="L43" s="60">
        <f>IF(I43="Mechanical",(('Mob-Mech'!$E$47+'Demob-Mech'!$E$42)/G43),(('Mob-Hyd'!$E$47+'Demob-Hyd'!$E$42)/G43))</f>
        <v>56215.827679759997</v>
      </c>
      <c r="M43" s="56">
        <f t="shared" si="28"/>
        <v>-4.5985714285714296</v>
      </c>
      <c r="N43" s="56">
        <f t="shared" si="29"/>
        <v>4.5985714285714296</v>
      </c>
      <c r="O43" t="str">
        <f t="shared" si="30"/>
        <v>Averaged</v>
      </c>
      <c r="P43" s="58">
        <f t="shared" si="31"/>
        <v>17126.28317120182</v>
      </c>
      <c r="Q43" s="249">
        <v>1.1000000000000001</v>
      </c>
      <c r="R43" s="58">
        <f t="shared" si="32"/>
        <v>18838.911488322003</v>
      </c>
      <c r="S43" s="58">
        <f>R43*'PrismQC Vols'!$G$14</f>
        <v>1271.9108990790394</v>
      </c>
      <c r="T43" s="282">
        <f>IF(I43="Mechanical",S43/Prod!$D$21,S43/Prod!$D$11)</f>
        <v>1.9381499414537744</v>
      </c>
      <c r="U43" s="61">
        <f>IF(I43="Hydraulic",(T43*('DR-Hyd'!$O$13+'DR-Hyd'!$O$18+'DR-Hyd'!$O$24)/S43),(T43*('DR-Mech'!$O$13+'DR-Mech'!$O$18+'DR-Mech'!$O$24)/S43))</f>
        <v>15.253427281310476</v>
      </c>
      <c r="V43" s="61">
        <f>IF(I43="Hydraulic",(T43*'DR-Hyd'!$O$34)/S43,(T43*'DR-Mech'!$O$34)/S43)+5</f>
        <v>19.221610773333335</v>
      </c>
      <c r="W43" s="61">
        <f>IF(I43="Hydraulic",(Overhead!$F$39/S43)+((Overhead!$D$39/Table!G43)/S43),(Overhead!$K$39/S43)+((Overhead!I77/Table!G43)/S43))</f>
        <v>1.3410268501525537</v>
      </c>
      <c r="X43" s="61">
        <f t="shared" si="33"/>
        <v>1</v>
      </c>
      <c r="Y43" s="61">
        <f>IF(H43="Upland",0,(IF(I43="Mechanical",(T43*'DR-Mech'!$O$24+'DR-Mech'!$O$34)/S43,(T43*'DR-Hyd'!$O$24+'DR-Hyd'!$O$34)/S43)))</f>
        <v>0</v>
      </c>
      <c r="Z43" s="301">
        <f t="shared" si="34"/>
        <v>36.816064904796363</v>
      </c>
      <c r="AA43" s="301">
        <f t="shared" si="35"/>
        <v>42.338474640515813</v>
      </c>
      <c r="AB43" s="302" t="str">
        <f t="shared" si="36"/>
        <v>High</v>
      </c>
      <c r="AC43" s="303">
        <f t="shared" si="37"/>
        <v>7.6862373737373743E-2</v>
      </c>
      <c r="AD43" s="404">
        <f t="shared" si="38"/>
        <v>8553.9154520458014</v>
      </c>
      <c r="AE43" s="61">
        <f t="shared" si="39"/>
        <v>0.73632129809592728</v>
      </c>
      <c r="AF43" s="61">
        <f t="shared" si="40"/>
        <v>0.88358555771511271</v>
      </c>
      <c r="AG43" s="61">
        <f t="shared" si="41"/>
        <v>1.1044819471438909</v>
      </c>
      <c r="AH43" s="301">
        <f t="shared" si="42"/>
        <v>2.7243888029549312</v>
      </c>
      <c r="AI43" s="301">
        <f t="shared" si="43"/>
        <v>3.1330471233981707</v>
      </c>
      <c r="AJ43" s="310">
        <f t="shared" si="44"/>
        <v>39.540453707751297</v>
      </c>
      <c r="AK43" s="311">
        <f t="shared" si="45"/>
        <v>45.471521763913991</v>
      </c>
      <c r="AL43" s="40"/>
      <c r="AM43" s="17">
        <v>2435</v>
      </c>
      <c r="AN43" s="17"/>
      <c r="AO43" s="19">
        <v>55</v>
      </c>
      <c r="AP43" s="19">
        <f t="shared" si="24"/>
        <v>27.5</v>
      </c>
      <c r="AQ43" s="20"/>
      <c r="AR43" s="20"/>
      <c r="AS43" s="16"/>
      <c r="AT43" s="19"/>
      <c r="AU43" s="16"/>
      <c r="AV43" s="19"/>
      <c r="AW43" s="19"/>
      <c r="AX43" s="19"/>
      <c r="AY43" s="19"/>
      <c r="AZ43" s="19"/>
      <c r="BA43" s="20"/>
      <c r="BB43" s="20"/>
      <c r="BC43" s="20" t="s">
        <v>91</v>
      </c>
      <c r="BD43" s="20" t="s">
        <v>238</v>
      </c>
      <c r="BE43" s="20" t="s">
        <v>230</v>
      </c>
      <c r="BF43" s="16" t="s">
        <v>230</v>
      </c>
      <c r="BG43" s="16" t="s">
        <v>28</v>
      </c>
      <c r="BH43" s="20" t="s">
        <v>239</v>
      </c>
      <c r="BI43" s="16"/>
      <c r="BJ43" s="16"/>
      <c r="BK43" s="21" t="s">
        <v>14</v>
      </c>
      <c r="BL43" t="s">
        <v>375</v>
      </c>
      <c r="BM43">
        <v>3</v>
      </c>
      <c r="BN43">
        <v>1</v>
      </c>
      <c r="BO43" t="s">
        <v>371</v>
      </c>
      <c r="BP43" t="s">
        <v>372</v>
      </c>
      <c r="BQ43" t="s">
        <v>373</v>
      </c>
      <c r="BR43" t="s">
        <v>219</v>
      </c>
      <c r="BS43"/>
      <c r="BT43" s="27"/>
      <c r="BU43" s="27"/>
      <c r="BV43" s="27"/>
      <c r="BW43" s="27"/>
      <c r="BX43" s="27"/>
    </row>
    <row r="44" spans="1:76" s="27" customFormat="1" hidden="1" x14ac:dyDescent="0.25">
      <c r="A44" s="24"/>
      <c r="B44" s="42" t="s">
        <v>203</v>
      </c>
      <c r="C44" t="s">
        <v>370</v>
      </c>
      <c r="D44" t="str">
        <f t="shared" si="25"/>
        <v>22-Private</v>
      </c>
      <c r="E44" t="s">
        <v>650</v>
      </c>
      <c r="F44">
        <v>3</v>
      </c>
      <c r="G44">
        <f t="shared" si="26"/>
        <v>12</v>
      </c>
      <c r="H44" s="248" t="s">
        <v>423</v>
      </c>
      <c r="I44" s="248" t="s">
        <v>427</v>
      </c>
      <c r="J44" s="248" t="s">
        <v>586</v>
      </c>
      <c r="K44" s="61">
        <f t="shared" si="27"/>
        <v>0.88151976025700396</v>
      </c>
      <c r="L44" s="60">
        <f>IF(I44="Mechanical",(('Mob-Mech'!$E$47+'Demob-Mech'!$E$42)/G44),(('Mob-Hyd'!$E$47+'Demob-Hyd'!$E$42)/G44))</f>
        <v>56215.827679759997</v>
      </c>
      <c r="M44" s="56">
        <f t="shared" si="28"/>
        <v>-4.5985714285714296</v>
      </c>
      <c r="N44" s="56">
        <f t="shared" si="29"/>
        <v>4.5985714285714296</v>
      </c>
      <c r="O44" t="str">
        <f t="shared" si="30"/>
        <v>Averaged</v>
      </c>
      <c r="P44" s="58">
        <f t="shared" si="31"/>
        <v>1193.4679727891159</v>
      </c>
      <c r="Q44" s="249">
        <v>1.1000000000000001</v>
      </c>
      <c r="R44" s="58">
        <f t="shared" si="32"/>
        <v>1312.8147700680277</v>
      </c>
      <c r="S44" s="58">
        <f>R44*'PrismQC Vols'!$G$14</f>
        <v>88.634813935855291</v>
      </c>
      <c r="T44" s="282">
        <f>IF(I44="Mechanical",S44/Prod!$D$21,S44/Prod!$D$11)</f>
        <v>0.13506257361654139</v>
      </c>
      <c r="U44" s="61">
        <f>IF(I44="Hydraulic",(T44*('DR-Hyd'!$O$13+'DR-Hyd'!$O$18+'DR-Hyd'!$O$24)/S44),(T44*('DR-Mech'!$O$13+'DR-Mech'!$O$18+'DR-Mech'!$O$24)/S44))</f>
        <v>15.253427281310476</v>
      </c>
      <c r="V44" s="61">
        <f>IF(I44="Hydraulic",(T44*'DR-Hyd'!$O$34)/S44,(T44*'DR-Mech'!$O$34)/S44)+5</f>
        <v>19.221610773333332</v>
      </c>
      <c r="W44" s="61">
        <f>IF(I44="Hydraulic",(Overhead!$F$39/S44)+((Overhead!$D$39/Table!G44)/S44),(Overhead!$K$39/S44)+((Overhead!I78/Table!G44)/S44))</f>
        <v>19.243755257398654</v>
      </c>
      <c r="X44" s="61">
        <f t="shared" si="33"/>
        <v>1</v>
      </c>
      <c r="Y44" s="61">
        <f>IF(H44="Upland",0,(IF(I44="Mechanical",(T44*'DR-Mech'!$O$24+'DR-Mech'!$O$34)/S44,(T44*'DR-Hyd'!$O$24+'DR-Hyd'!$O$34)/S44)))</f>
        <v>0</v>
      </c>
      <c r="Z44" s="301">
        <f t="shared" si="34"/>
        <v>54.718793312042457</v>
      </c>
      <c r="AA44" s="301">
        <f t="shared" si="35"/>
        <v>62.926612308848824</v>
      </c>
      <c r="AB44" s="302" t="str">
        <f t="shared" si="36"/>
        <v>Moderate</v>
      </c>
      <c r="AC44" s="303">
        <f t="shared" si="37"/>
        <v>2.7548209366391185E-3</v>
      </c>
      <c r="AD44" s="404">
        <f t="shared" si="38"/>
        <v>306.58050528146237</v>
      </c>
      <c r="AE44" s="61">
        <f t="shared" si="39"/>
        <v>1.0943758662408491</v>
      </c>
      <c r="AF44" s="61">
        <f t="shared" si="40"/>
        <v>1.3132510394890191</v>
      </c>
      <c r="AG44" s="61">
        <f t="shared" si="41"/>
        <v>1.6415637993612737</v>
      </c>
      <c r="AH44" s="301">
        <f t="shared" si="42"/>
        <v>4.0491907050911422</v>
      </c>
      <c r="AI44" s="301">
        <f t="shared" si="43"/>
        <v>4.6565693108548132</v>
      </c>
      <c r="AJ44" s="310">
        <f t="shared" si="44"/>
        <v>58.7679840171336</v>
      </c>
      <c r="AK44" s="311">
        <f t="shared" si="45"/>
        <v>67.583181619703637</v>
      </c>
      <c r="AL44" s="42" t="s">
        <v>203</v>
      </c>
      <c r="AM44" s="14">
        <v>160</v>
      </c>
      <c r="AN44" s="14"/>
      <c r="AO44" s="4">
        <v>60</v>
      </c>
      <c r="AP44" s="5">
        <f t="shared" si="24"/>
        <v>30</v>
      </c>
      <c r="AQ44" s="6" t="s">
        <v>204</v>
      </c>
      <c r="AR44" s="6" t="s">
        <v>205</v>
      </c>
      <c r="AS44" s="3" t="s">
        <v>8</v>
      </c>
      <c r="AT44" s="4">
        <v>-5.4</v>
      </c>
      <c r="AU44" s="3"/>
      <c r="AV44" s="4"/>
      <c r="AW44" s="4"/>
      <c r="AX44" s="4"/>
      <c r="AY44" s="4"/>
      <c r="AZ44" s="4"/>
      <c r="BA44" s="6" t="s">
        <v>9</v>
      </c>
      <c r="BB44" s="6"/>
      <c r="BC44" s="6" t="s">
        <v>10</v>
      </c>
      <c r="BD44" s="6" t="s">
        <v>156</v>
      </c>
      <c r="BE44" s="6" t="s">
        <v>27</v>
      </c>
      <c r="BF44" s="3"/>
      <c r="BG44" s="3" t="s">
        <v>13</v>
      </c>
      <c r="BH44" s="6"/>
      <c r="BI44" s="3"/>
      <c r="BJ44" s="3"/>
      <c r="BK44" s="7" t="s">
        <v>14</v>
      </c>
      <c r="BL44" t="s">
        <v>370</v>
      </c>
      <c r="BM44">
        <v>3</v>
      </c>
      <c r="BN44">
        <v>1</v>
      </c>
      <c r="BO44" t="s">
        <v>371</v>
      </c>
      <c r="BP44" t="s">
        <v>372</v>
      </c>
      <c r="BQ44" t="s">
        <v>373</v>
      </c>
      <c r="BR44" t="s">
        <v>219</v>
      </c>
      <c r="BS44"/>
      <c r="BT44" s="1"/>
      <c r="BU44" s="1"/>
      <c r="BV44" s="1"/>
      <c r="BW44" s="1"/>
      <c r="BX44" s="1"/>
    </row>
    <row r="45" spans="1:76" s="27" customFormat="1" ht="30" hidden="1" x14ac:dyDescent="0.25">
      <c r="A45" s="45"/>
      <c r="B45" s="476" t="s">
        <v>231</v>
      </c>
      <c r="C45" t="s">
        <v>378</v>
      </c>
      <c r="D45" t="str">
        <f t="shared" si="25"/>
        <v>22A-Access</v>
      </c>
      <c r="E45" t="s">
        <v>651</v>
      </c>
      <c r="F45">
        <v>3</v>
      </c>
      <c r="G45">
        <f t="shared" si="26"/>
        <v>12</v>
      </c>
      <c r="H45" s="248" t="s">
        <v>423</v>
      </c>
      <c r="I45" s="248" t="s">
        <v>427</v>
      </c>
      <c r="J45" s="248" t="s">
        <v>586</v>
      </c>
      <c r="K45" s="61">
        <f t="shared" si="27"/>
        <v>0.59812655677334869</v>
      </c>
      <c r="L45" s="60">
        <f>IF(I45="Mechanical",(('Mob-Mech'!$E$47+'Demob-Mech'!$E$42)/G45),(('Mob-Hyd'!$E$47+'Demob-Hyd'!$E$42)/G45))</f>
        <v>56215.827679759997</v>
      </c>
      <c r="M45" s="56">
        <f t="shared" si="28"/>
        <v>-5.17</v>
      </c>
      <c r="N45" s="56">
        <f t="shared" si="29"/>
        <v>5.17</v>
      </c>
      <c r="O45" t="str">
        <f t="shared" si="30"/>
        <v>Actual</v>
      </c>
      <c r="P45" s="58">
        <f t="shared" si="31"/>
        <v>13897.216585185184</v>
      </c>
      <c r="Q45" s="249">
        <v>1.1000000000000001</v>
      </c>
      <c r="R45" s="58">
        <f t="shared" si="32"/>
        <v>15286.938243703704</v>
      </c>
      <c r="S45" s="58">
        <f>R45*'PrismQC Vols'!$G$14</f>
        <v>1032.0990879843446</v>
      </c>
      <c r="T45" s="282">
        <f>IF(I45="Mechanical",S45/Prod!$D$21,S45/Prod!$D$11)</f>
        <v>1.572722419785668</v>
      </c>
      <c r="U45" s="61">
        <f>IF(I45="Hydraulic",(T45*('DR-Hyd'!$O$13+'DR-Hyd'!$O$18+'DR-Hyd'!$O$24)/S45),(T45*('DR-Mech'!$O$13+'DR-Mech'!$O$18+'DR-Mech'!$O$24)/S45))</f>
        <v>15.253427281310477</v>
      </c>
      <c r="V45" s="61">
        <f>IF(I45="Hydraulic",(T45*'DR-Hyd'!$O$34)/S45,(T45*'DR-Mech'!$O$34)/S45)+5</f>
        <v>19.221610773333335</v>
      </c>
      <c r="W45" s="61">
        <f>IF(I45="Hydraulic",(Overhead!$F$39/S45)+((Overhead!$D$39/Table!G45)/S45),(Overhead!$K$39/S45)+((Overhead!I79/Table!G45)/S45))</f>
        <v>1.6526191007471747</v>
      </c>
      <c r="X45" s="61">
        <f t="shared" si="33"/>
        <v>1</v>
      </c>
      <c r="Y45" s="61">
        <f>IF(H45="Upland",0,(IF(I45="Mechanical",(T45*'DR-Mech'!$O$24+'DR-Mech'!$O$34)/S45,(T45*'DR-Hyd'!$O$24+'DR-Hyd'!$O$34)/S45)))</f>
        <v>0</v>
      </c>
      <c r="Z45" s="301">
        <f t="shared" si="34"/>
        <v>37.127657155390985</v>
      </c>
      <c r="AA45" s="301">
        <f t="shared" si="35"/>
        <v>42.69680572869963</v>
      </c>
      <c r="AB45" s="302" t="str">
        <f t="shared" si="36"/>
        <v>High</v>
      </c>
      <c r="AC45" s="303">
        <f t="shared" si="37"/>
        <v>4.5315656565656566E-2</v>
      </c>
      <c r="AD45" s="404">
        <f t="shared" si="38"/>
        <v>5043.1215700028552</v>
      </c>
      <c r="AE45" s="61">
        <f t="shared" si="39"/>
        <v>0.74255314310781972</v>
      </c>
      <c r="AF45" s="61">
        <f t="shared" si="40"/>
        <v>0.89106377172938367</v>
      </c>
      <c r="AG45" s="61">
        <f t="shared" si="41"/>
        <v>1.1138297146617295</v>
      </c>
      <c r="AH45" s="301">
        <f t="shared" si="42"/>
        <v>2.747446629498933</v>
      </c>
      <c r="AI45" s="301">
        <f t="shared" si="43"/>
        <v>3.1595636239237725</v>
      </c>
      <c r="AJ45" s="310">
        <f t="shared" si="44"/>
        <v>39.875103784889916</v>
      </c>
      <c r="AK45" s="311">
        <f t="shared" si="45"/>
        <v>45.856369352623403</v>
      </c>
      <c r="AL45" s="476" t="s">
        <v>232</v>
      </c>
      <c r="AM45" s="17">
        <v>2134</v>
      </c>
      <c r="AN45" s="17"/>
      <c r="AO45" s="19">
        <v>37</v>
      </c>
      <c r="AP45" s="19">
        <f t="shared" si="24"/>
        <v>18.5</v>
      </c>
      <c r="AQ45" s="20" t="s">
        <v>321</v>
      </c>
      <c r="AR45" s="20" t="s">
        <v>205</v>
      </c>
      <c r="AS45" s="20" t="s">
        <v>322</v>
      </c>
      <c r="AT45" s="23" t="s">
        <v>346</v>
      </c>
      <c r="AU45" s="16"/>
      <c r="AV45" s="19"/>
      <c r="AW45" s="19"/>
      <c r="AX45" s="19">
        <f>-5.4+0.23</f>
        <v>-5.17</v>
      </c>
      <c r="AY45" s="4"/>
      <c r="AZ45" s="4"/>
      <c r="BA45" s="20"/>
      <c r="BB45" s="20" t="s">
        <v>233</v>
      </c>
      <c r="BC45" s="20"/>
      <c r="BD45" s="20" t="s">
        <v>234</v>
      </c>
      <c r="BE45" s="20" t="s">
        <v>230</v>
      </c>
      <c r="BF45" s="16"/>
      <c r="BG45" s="16" t="s">
        <v>28</v>
      </c>
      <c r="BH45" s="479"/>
      <c r="BI45" s="476"/>
      <c r="BJ45" s="476"/>
      <c r="BK45" s="476" t="s">
        <v>14</v>
      </c>
      <c r="BL45" t="s">
        <v>378</v>
      </c>
      <c r="BM45">
        <v>3</v>
      </c>
      <c r="BN45">
        <v>1</v>
      </c>
      <c r="BO45" t="s">
        <v>91</v>
      </c>
      <c r="BP45" t="s">
        <v>373</v>
      </c>
      <c r="BQ45" t="s">
        <v>373</v>
      </c>
      <c r="BR45" t="s">
        <v>385</v>
      </c>
      <c r="BS45"/>
      <c r="BT45" s="1"/>
      <c r="BU45" s="1"/>
      <c r="BV45" s="1"/>
      <c r="BW45" s="1"/>
      <c r="BX45" s="1"/>
    </row>
    <row r="46" spans="1:76" ht="30" hidden="1" x14ac:dyDescent="0.25">
      <c r="B46" s="42" t="s">
        <v>240</v>
      </c>
      <c r="C46" t="s">
        <v>370</v>
      </c>
      <c r="D46" t="str">
        <f t="shared" si="25"/>
        <v>22P-Private</v>
      </c>
      <c r="E46" t="s">
        <v>650</v>
      </c>
      <c r="F46">
        <v>3</v>
      </c>
      <c r="G46">
        <f t="shared" si="26"/>
        <v>12</v>
      </c>
      <c r="H46" s="248" t="s">
        <v>423</v>
      </c>
      <c r="I46" s="248" t="s">
        <v>427</v>
      </c>
      <c r="J46" s="248" t="s">
        <v>586</v>
      </c>
      <c r="K46" s="61">
        <f t="shared" si="27"/>
        <v>0.65696037363902327</v>
      </c>
      <c r="L46" s="60">
        <f>IF(I46="Mechanical",(('Mob-Mech'!$E$47+'Demob-Mech'!$E$42)/G46),(('Mob-Hyd'!$E$47+'Demob-Hyd'!$E$42)/G46))</f>
        <v>56215.827679759997</v>
      </c>
      <c r="M46" s="56">
        <f t="shared" si="28"/>
        <v>-4.5985714285714296</v>
      </c>
      <c r="N46" s="56">
        <f t="shared" si="29"/>
        <v>4.5985714285714296</v>
      </c>
      <c r="O46" t="str">
        <f t="shared" si="30"/>
        <v>Averaged</v>
      </c>
      <c r="P46" s="58">
        <f t="shared" si="31"/>
        <v>4329.5812775510212</v>
      </c>
      <c r="Q46" s="249">
        <v>1.1000000000000001</v>
      </c>
      <c r="R46" s="58">
        <f t="shared" si="32"/>
        <v>4762.5394053061236</v>
      </c>
      <c r="S46" s="58">
        <f>R46*'PrismQC Vols'!$G$14</f>
        <v>321.54330045327976</v>
      </c>
      <c r="T46" s="282">
        <f>IF(I46="Mechanical",S46/Prod!$D$21,S46/Prod!$D$11)</f>
        <v>0.48997074354785486</v>
      </c>
      <c r="U46" s="61">
        <f>IF(I46="Hydraulic",(T46*('DR-Hyd'!$O$13+'DR-Hyd'!$O$18+'DR-Hyd'!$O$24)/S46),(T46*('DR-Mech'!$O$13+'DR-Mech'!$O$18+'DR-Mech'!$O$24)/S46))</f>
        <v>15.253427281310477</v>
      </c>
      <c r="V46" s="61">
        <f>IF(I46="Hydraulic",(T46*'DR-Hyd'!$O$34)/S46,(T46*'DR-Mech'!$O$34)/S46)+5</f>
        <v>19.221610773333335</v>
      </c>
      <c r="W46" s="61">
        <f>IF(I46="Hydraulic",(Overhead!$F$39/S46)+((Overhead!$D$39/Table!G46)/S46),(Overhead!$K$39/S46)+((Overhead!I80/Table!G46)/S46))</f>
        <v>5.3046251135140663</v>
      </c>
      <c r="X46" s="61">
        <f t="shared" si="33"/>
        <v>1</v>
      </c>
      <c r="Y46" s="61">
        <f>IF(H46="Upland",0,(IF(I46="Mechanical",(T46*'DR-Mech'!$O$24+'DR-Mech'!$O$34)/S46,(T46*'DR-Hyd'!$O$24+'DR-Hyd'!$O$34)/S46)))</f>
        <v>0</v>
      </c>
      <c r="Z46" s="301">
        <f t="shared" si="34"/>
        <v>40.779663168157875</v>
      </c>
      <c r="AA46" s="301">
        <f t="shared" si="35"/>
        <v>46.896612643381552</v>
      </c>
      <c r="AB46" s="302" t="str">
        <f t="shared" si="36"/>
        <v>High</v>
      </c>
      <c r="AC46" s="303">
        <f t="shared" si="37"/>
        <v>1.9772727272727275E-2</v>
      </c>
      <c r="AD46" s="404">
        <f t="shared" si="38"/>
        <v>2200.4815766576962</v>
      </c>
      <c r="AE46" s="61">
        <f t="shared" si="39"/>
        <v>0.81559326336315752</v>
      </c>
      <c r="AF46" s="61">
        <f t="shared" si="40"/>
        <v>0.978711916035789</v>
      </c>
      <c r="AG46" s="61">
        <f t="shared" si="41"/>
        <v>1.2233898950447362</v>
      </c>
      <c r="AH46" s="301">
        <f t="shared" si="42"/>
        <v>3.0176950744436826</v>
      </c>
      <c r="AI46" s="301">
        <f t="shared" si="43"/>
        <v>3.4703493356102348</v>
      </c>
      <c r="AJ46" s="310">
        <f t="shared" si="44"/>
        <v>43.797358242601554</v>
      </c>
      <c r="AK46" s="311">
        <f t="shared" si="45"/>
        <v>50.366961978991782</v>
      </c>
      <c r="AL46" s="42"/>
      <c r="AM46" s="14">
        <v>594</v>
      </c>
      <c r="AN46" s="14"/>
      <c r="AO46" s="8">
        <v>58</v>
      </c>
      <c r="AP46" s="5">
        <f t="shared" si="24"/>
        <v>29</v>
      </c>
      <c r="AQ46" s="6"/>
      <c r="AR46" s="6"/>
      <c r="AS46" s="3"/>
      <c r="AT46" s="4">
        <v>-5.4</v>
      </c>
      <c r="AU46" s="3"/>
      <c r="AV46" s="4"/>
      <c r="AW46" s="4"/>
      <c r="AX46" s="4"/>
      <c r="AY46" s="4"/>
      <c r="AZ46" s="4"/>
      <c r="BA46" s="6" t="s">
        <v>323</v>
      </c>
      <c r="BB46" s="6"/>
      <c r="BC46" s="6"/>
      <c r="BD46" s="6"/>
      <c r="BE46" s="6"/>
      <c r="BF46" s="3"/>
      <c r="BG46" s="3" t="s">
        <v>28</v>
      </c>
      <c r="BH46" s="6"/>
      <c r="BI46" s="3"/>
      <c r="BJ46" s="3"/>
      <c r="BK46" s="7" t="s">
        <v>14</v>
      </c>
      <c r="BL46" t="s">
        <v>375</v>
      </c>
      <c r="BM46">
        <v>3</v>
      </c>
      <c r="BN46">
        <v>1</v>
      </c>
      <c r="BO46" t="s">
        <v>371</v>
      </c>
      <c r="BP46" t="s">
        <v>372</v>
      </c>
      <c r="BQ46" t="s">
        <v>373</v>
      </c>
      <c r="BR46" t="s">
        <v>219</v>
      </c>
      <c r="BS46"/>
    </row>
    <row r="47" spans="1:76" ht="45" hidden="1" x14ac:dyDescent="0.25">
      <c r="B47" s="42" t="s">
        <v>200</v>
      </c>
      <c r="C47" t="s">
        <v>370</v>
      </c>
      <c r="D47" t="str">
        <f t="shared" si="25"/>
        <v>23-Private</v>
      </c>
      <c r="E47" t="s">
        <v>650</v>
      </c>
      <c r="F47">
        <v>3</v>
      </c>
      <c r="G47">
        <f t="shared" si="26"/>
        <v>12</v>
      </c>
      <c r="H47" s="248" t="s">
        <v>423</v>
      </c>
      <c r="I47" s="248" t="s">
        <v>427</v>
      </c>
      <c r="J47" s="248" t="s">
        <v>586</v>
      </c>
      <c r="K47" s="61">
        <f t="shared" si="27"/>
        <v>0.84651263024549395</v>
      </c>
      <c r="L47" s="60">
        <f>IF(I47="Mechanical",(('Mob-Mech'!$E$47+'Demob-Mech'!$E$42)/G47),(('Mob-Hyd'!$E$47+'Demob-Hyd'!$E$42)/G47))</f>
        <v>56215.827679759997</v>
      </c>
      <c r="M47" s="56">
        <f t="shared" si="28"/>
        <v>-4.5985714285714296</v>
      </c>
      <c r="N47" s="56">
        <f t="shared" si="29"/>
        <v>4.5985714285714296</v>
      </c>
      <c r="O47" t="str">
        <f t="shared" si="30"/>
        <v>Averaged</v>
      </c>
      <c r="P47" s="58">
        <f t="shared" si="31"/>
        <v>1345.3894442176877</v>
      </c>
      <c r="Q47" s="249">
        <v>1.1000000000000001</v>
      </c>
      <c r="R47" s="58">
        <f t="shared" si="32"/>
        <v>1479.9283886394567</v>
      </c>
      <c r="S47" s="58">
        <f>R47*'PrismQC Vols'!$G$14</f>
        <v>99.917505771702452</v>
      </c>
      <c r="T47" s="282">
        <f>IF(I47="Mechanical",S47/Prod!$D$21,S47/Prod!$D$11)</f>
        <v>0.15225524689021325</v>
      </c>
      <c r="U47" s="61">
        <f>IF(I47="Hydraulic",(T47*('DR-Hyd'!$O$13+'DR-Hyd'!$O$18+'DR-Hyd'!$O$24)/S47),(T47*('DR-Mech'!$O$13+'DR-Mech'!$O$18+'DR-Mech'!$O$24)/S47))</f>
        <v>15.253427281310476</v>
      </c>
      <c r="V47" s="61">
        <f>IF(I47="Hydraulic",(T47*'DR-Hyd'!$O$34)/S47,(T47*'DR-Mech'!$O$34)/S47)+5</f>
        <v>19.221610773333332</v>
      </c>
      <c r="W47" s="61">
        <f>IF(I47="Hydraulic",(Overhead!$F$39/S47)+((Overhead!$D$39/Table!G47)/S47),(Overhead!$K$39/S47)+((Overhead!I81/Table!G47)/S47))</f>
        <v>17.070749049359549</v>
      </c>
      <c r="X47" s="61">
        <f t="shared" si="33"/>
        <v>1</v>
      </c>
      <c r="Y47" s="61">
        <f>IF(H47="Upland",0,(IF(I47="Mechanical",(T47*'DR-Mech'!$O$24+'DR-Mech'!$O$34)/S47,(T47*'DR-Hyd'!$O$24+'DR-Hyd'!$O$34)/S47)))</f>
        <v>0</v>
      </c>
      <c r="Z47" s="301">
        <f t="shared" si="34"/>
        <v>52.545787104003352</v>
      </c>
      <c r="AA47" s="301">
        <f t="shared" si="35"/>
        <v>60.427655169603852</v>
      </c>
      <c r="AB47" s="302" t="str">
        <f t="shared" si="36"/>
        <v>Moderate</v>
      </c>
      <c r="AC47" s="303">
        <f t="shared" si="37"/>
        <v>2.8787878787878791E-3</v>
      </c>
      <c r="AD47" s="404">
        <f t="shared" si="38"/>
        <v>320.37662801912819</v>
      </c>
      <c r="AE47" s="61">
        <f t="shared" si="39"/>
        <v>1.050915742080067</v>
      </c>
      <c r="AF47" s="61">
        <f t="shared" si="40"/>
        <v>1.2610988904960805</v>
      </c>
      <c r="AG47" s="61">
        <f t="shared" si="41"/>
        <v>1.5763736131201005</v>
      </c>
      <c r="AH47" s="301">
        <f t="shared" si="42"/>
        <v>3.8883882456962482</v>
      </c>
      <c r="AI47" s="301">
        <f t="shared" si="43"/>
        <v>4.4716464825506854</v>
      </c>
      <c r="AJ47" s="310">
        <f t="shared" si="44"/>
        <v>56.434175349699601</v>
      </c>
      <c r="AK47" s="311">
        <f t="shared" si="45"/>
        <v>64.899301652154534</v>
      </c>
      <c r="AL47" s="42" t="s">
        <v>200</v>
      </c>
      <c r="AM47" s="14">
        <v>209</v>
      </c>
      <c r="AN47" s="14"/>
      <c r="AO47" s="4">
        <v>48</v>
      </c>
      <c r="AP47" s="5">
        <f t="shared" si="24"/>
        <v>24</v>
      </c>
      <c r="AQ47" s="6" t="s">
        <v>201</v>
      </c>
      <c r="AR47" s="6" t="s">
        <v>42</v>
      </c>
      <c r="AS47" s="3" t="s">
        <v>8</v>
      </c>
      <c r="AT47" s="4">
        <v>-5.4</v>
      </c>
      <c r="AU47" s="3"/>
      <c r="AV47" s="4"/>
      <c r="AW47" s="4"/>
      <c r="AX47" s="4"/>
      <c r="AY47" s="4"/>
      <c r="AZ47" s="4"/>
      <c r="BA47" s="6" t="s">
        <v>9</v>
      </c>
      <c r="BB47" s="6"/>
      <c r="BC47" s="6" t="s">
        <v>196</v>
      </c>
      <c r="BD47" s="6" t="s">
        <v>11</v>
      </c>
      <c r="BE47" s="6" t="s">
        <v>202</v>
      </c>
      <c r="BF47" s="3"/>
      <c r="BG47" s="3" t="s">
        <v>13</v>
      </c>
      <c r="BH47" s="6"/>
      <c r="BI47" s="3"/>
      <c r="BJ47" s="3"/>
      <c r="BK47" s="7" t="s">
        <v>14</v>
      </c>
      <c r="BL47" t="s">
        <v>370</v>
      </c>
      <c r="BM47">
        <v>3</v>
      </c>
      <c r="BN47">
        <v>1</v>
      </c>
      <c r="BO47" t="s">
        <v>91</v>
      </c>
      <c r="BP47" t="s">
        <v>372</v>
      </c>
      <c r="BQ47" t="s">
        <v>373</v>
      </c>
      <c r="BR47" t="s">
        <v>219</v>
      </c>
      <c r="BS47"/>
      <c r="BT47" s="22"/>
      <c r="BU47" s="22"/>
      <c r="BV47" s="22"/>
      <c r="BW47" s="22"/>
      <c r="BX47" s="22"/>
    </row>
    <row r="48" spans="1:76" ht="30" hidden="1" x14ac:dyDescent="0.25">
      <c r="A48" s="46" t="s">
        <v>363</v>
      </c>
      <c r="B48" s="48" t="s">
        <v>362</v>
      </c>
      <c r="C48" t="s">
        <v>370</v>
      </c>
      <c r="D48" t="str">
        <f t="shared" si="25"/>
        <v>23P-Private</v>
      </c>
      <c r="E48" t="s">
        <v>650</v>
      </c>
      <c r="F48">
        <v>3</v>
      </c>
      <c r="G48">
        <f t="shared" si="26"/>
        <v>12</v>
      </c>
      <c r="H48" s="248" t="s">
        <v>423</v>
      </c>
      <c r="I48" s="248" t="s">
        <v>427</v>
      </c>
      <c r="J48" s="248" t="s">
        <v>586</v>
      </c>
      <c r="K48" s="61">
        <f t="shared" si="27"/>
        <v>0.77422270887681</v>
      </c>
      <c r="L48" s="60">
        <f>IF(I48="Mechanical",(('Mob-Mech'!$E$47+'Demob-Mech'!$E$42)/G48),(('Mob-Hyd'!$E$47+'Demob-Hyd'!$E$42)/G48))</f>
        <v>56215.827679759997</v>
      </c>
      <c r="M48" s="56">
        <f t="shared" si="28"/>
        <v>-4.5985714285714296</v>
      </c>
      <c r="N48" s="56">
        <f t="shared" si="29"/>
        <v>4.5985714285714296</v>
      </c>
      <c r="O48" t="str">
        <f t="shared" si="30"/>
        <v>Averaged</v>
      </c>
      <c r="P48" s="58">
        <f t="shared" si="31"/>
        <v>1825.1554816326536</v>
      </c>
      <c r="Q48" s="249">
        <v>1.1000000000000001</v>
      </c>
      <c r="R48" s="58">
        <f t="shared" si="32"/>
        <v>2007.6710297959191</v>
      </c>
      <c r="S48" s="58">
        <f>R48*'PrismQC Vols'!$G$14</f>
        <v>135.54810033189014</v>
      </c>
      <c r="T48" s="282">
        <f>IF(I48="Mechanical",S48/Prod!$D$21,S48/Prod!$D$11)</f>
        <v>0.20654948622002306</v>
      </c>
      <c r="U48" s="61">
        <f>IF(I48="Hydraulic",(T48*('DR-Hyd'!$O$13+'DR-Hyd'!$O$18+'DR-Hyd'!$O$24)/S48),(T48*('DR-Mech'!$O$13+'DR-Mech'!$O$18+'DR-Mech'!$O$24)/S48))</f>
        <v>15.253427281310477</v>
      </c>
      <c r="V48" s="61">
        <f>IF(I48="Hydraulic",(T48*'DR-Hyd'!$O$34)/S48,(T48*'DR-Mech'!$O$34)/S48)+5</f>
        <v>19.221610773333335</v>
      </c>
      <c r="W48" s="61">
        <f>IF(I48="Hydraulic",(Overhead!$F$39/S48)+((Overhead!$D$39/Table!G48)/S48),(Overhead!$K$39/S48)+((Overhead!I82/Table!G48)/S48))</f>
        <v>12.583478945778909</v>
      </c>
      <c r="X48" s="61">
        <f t="shared" si="33"/>
        <v>1</v>
      </c>
      <c r="Y48" s="61">
        <f>IF(H48="Upland",0,(IF(I48="Mechanical",(T48*'DR-Mech'!$O$24+'DR-Mech'!$O$34)/S48,(T48*'DR-Hyd'!$O$24+'DR-Hyd'!$O$34)/S48)))</f>
        <v>0</v>
      </c>
      <c r="Z48" s="301">
        <f t="shared" si="34"/>
        <v>48.058517000422718</v>
      </c>
      <c r="AA48" s="301">
        <f t="shared" si="35"/>
        <v>55.26729455048612</v>
      </c>
      <c r="AB48" s="302" t="str">
        <f t="shared" si="36"/>
        <v>High</v>
      </c>
      <c r="AC48" s="303">
        <f t="shared" si="37"/>
        <v>8.5950413223140499E-3</v>
      </c>
      <c r="AD48" s="404">
        <f t="shared" si="38"/>
        <v>956.53117647816259</v>
      </c>
      <c r="AE48" s="61">
        <f t="shared" si="39"/>
        <v>0.96117034000845436</v>
      </c>
      <c r="AF48" s="61">
        <f t="shared" si="40"/>
        <v>1.1534044080101453</v>
      </c>
      <c r="AG48" s="61">
        <f t="shared" si="41"/>
        <v>1.4417555100126815</v>
      </c>
      <c r="AH48" s="301">
        <f t="shared" si="42"/>
        <v>3.5563302580312812</v>
      </c>
      <c r="AI48" s="301">
        <f t="shared" si="43"/>
        <v>4.0897797967359732</v>
      </c>
      <c r="AJ48" s="310">
        <f t="shared" si="44"/>
        <v>51.614847258453999</v>
      </c>
      <c r="AK48" s="311">
        <f t="shared" si="45"/>
        <v>59.357074347222095</v>
      </c>
      <c r="AL48" s="41" t="s">
        <v>241</v>
      </c>
      <c r="AM48" s="29">
        <v>234</v>
      </c>
      <c r="AN48" s="29"/>
      <c r="AO48" s="30">
        <v>64</v>
      </c>
      <c r="AP48" s="30">
        <f t="shared" si="24"/>
        <v>32</v>
      </c>
      <c r="AQ48" s="31"/>
      <c r="AR48" s="31"/>
      <c r="AS48" s="28"/>
      <c r="AT48" s="30"/>
      <c r="AU48" s="28"/>
      <c r="AV48" s="30"/>
      <c r="AW48" s="30"/>
      <c r="AX48" s="30"/>
      <c r="AY48" s="30"/>
      <c r="AZ48" s="30"/>
      <c r="BA48" s="31"/>
      <c r="BB48" s="31"/>
      <c r="BC48" s="31" t="s">
        <v>10</v>
      </c>
      <c r="BD48" s="31" t="s">
        <v>242</v>
      </c>
      <c r="BE48" s="31" t="s">
        <v>230</v>
      </c>
      <c r="BF48" s="28"/>
      <c r="BG48" s="28" t="s">
        <v>28</v>
      </c>
      <c r="BH48" s="31"/>
      <c r="BI48" s="28"/>
      <c r="BJ48" s="28"/>
      <c r="BK48" s="32" t="s">
        <v>14</v>
      </c>
      <c r="BL48" t="s">
        <v>375</v>
      </c>
      <c r="BM48">
        <v>3</v>
      </c>
      <c r="BN48">
        <v>1</v>
      </c>
      <c r="BO48" t="s">
        <v>91</v>
      </c>
      <c r="BP48" t="s">
        <v>372</v>
      </c>
      <c r="BQ48" t="s">
        <v>373</v>
      </c>
      <c r="BR48" t="s">
        <v>386</v>
      </c>
      <c r="BS48"/>
    </row>
    <row r="49" spans="1:76" s="27" customFormat="1" ht="30" hidden="1" x14ac:dyDescent="0.25">
      <c r="A49" s="24"/>
      <c r="B49" s="42" t="s">
        <v>41</v>
      </c>
      <c r="C49" t="s">
        <v>370</v>
      </c>
      <c r="D49" t="str">
        <f t="shared" si="25"/>
        <v>24-Private</v>
      </c>
      <c r="E49" t="s">
        <v>650</v>
      </c>
      <c r="F49">
        <v>3</v>
      </c>
      <c r="G49">
        <f t="shared" si="26"/>
        <v>12</v>
      </c>
      <c r="H49" s="248" t="s">
        <v>423</v>
      </c>
      <c r="I49" s="248" t="s">
        <v>427</v>
      </c>
      <c r="J49" s="248" t="s">
        <v>586</v>
      </c>
      <c r="K49" s="61">
        <f t="shared" si="27"/>
        <v>0.74713106155300468</v>
      </c>
      <c r="L49" s="60">
        <f>IF(I49="Mechanical",(('Mob-Mech'!$E$47+'Demob-Mech'!$E$42)/G49),(('Mob-Hyd'!$E$47+'Demob-Hyd'!$E$42)/G49))</f>
        <v>56215.827679759997</v>
      </c>
      <c r="M49" s="56">
        <f t="shared" si="28"/>
        <v>-4.5985714285714296</v>
      </c>
      <c r="N49" s="56">
        <f t="shared" si="29"/>
        <v>4.5985714285714296</v>
      </c>
      <c r="O49" t="str">
        <f t="shared" si="30"/>
        <v>Averaged</v>
      </c>
      <c r="P49" s="58">
        <f t="shared" si="31"/>
        <v>2106.6960829931982</v>
      </c>
      <c r="Q49" s="249">
        <v>1.1000000000000001</v>
      </c>
      <c r="R49" s="58">
        <f t="shared" si="32"/>
        <v>2317.365691292518</v>
      </c>
      <c r="S49" s="58">
        <f>R49*'PrismQC Vols'!$G$14</f>
        <v>156.45716482790911</v>
      </c>
      <c r="T49" s="282">
        <f>IF(I49="Mechanical",S49/Prod!$D$21,S49/Prod!$D$11)</f>
        <v>0.23841091783300436</v>
      </c>
      <c r="U49" s="61">
        <f>IF(I49="Hydraulic",(T49*('DR-Hyd'!$O$13+'DR-Hyd'!$O$18+'DR-Hyd'!$O$24)/S49),(T49*('DR-Mech'!$O$13+'DR-Mech'!$O$18+'DR-Mech'!$O$24)/S49))</f>
        <v>15.253427281310477</v>
      </c>
      <c r="V49" s="61">
        <f>IF(I49="Hydraulic",(T49*'DR-Hyd'!$O$34)/S49,(T49*'DR-Mech'!$O$34)/S49)+5</f>
        <v>19.221610773333335</v>
      </c>
      <c r="W49" s="61">
        <f>IF(I49="Hydraulic",(Overhead!$F$39/S49)+((Overhead!$D$39/Table!G49)/S49),(Overhead!$K$39/S49)+((Overhead!I83/Table!G49)/S49))</f>
        <v>10.901812445232338</v>
      </c>
      <c r="X49" s="61">
        <f t="shared" si="33"/>
        <v>1</v>
      </c>
      <c r="Y49" s="61">
        <f>IF(H49="Upland",0,(IF(I49="Mechanical",(T49*'DR-Mech'!$O$24+'DR-Mech'!$O$34)/S49,(T49*'DR-Hyd'!$O$24+'DR-Hyd'!$O$34)/S49)))</f>
        <v>0</v>
      </c>
      <c r="Z49" s="301">
        <f t="shared" si="34"/>
        <v>46.376850499876149</v>
      </c>
      <c r="AA49" s="301">
        <f t="shared" si="35"/>
        <v>53.333378074857563</v>
      </c>
      <c r="AB49" s="302" t="str">
        <f t="shared" si="36"/>
        <v>Moderate</v>
      </c>
      <c r="AC49" s="303">
        <f t="shared" si="37"/>
        <v>4.2011019283746554E-3</v>
      </c>
      <c r="AD49" s="404">
        <f t="shared" si="38"/>
        <v>467.53527055423007</v>
      </c>
      <c r="AE49" s="61">
        <f t="shared" si="39"/>
        <v>0.92753700999752298</v>
      </c>
      <c r="AF49" s="61">
        <f t="shared" si="40"/>
        <v>1.1130444119970275</v>
      </c>
      <c r="AG49" s="61">
        <f t="shared" si="41"/>
        <v>1.3913055149962843</v>
      </c>
      <c r="AH49" s="301">
        <f t="shared" si="42"/>
        <v>3.4318869369908347</v>
      </c>
      <c r="AI49" s="301">
        <f t="shared" si="43"/>
        <v>3.9466699775394596</v>
      </c>
      <c r="AJ49" s="310">
        <f t="shared" si="44"/>
        <v>49.808737436866984</v>
      </c>
      <c r="AK49" s="311">
        <f t="shared" si="45"/>
        <v>57.280048052397028</v>
      </c>
      <c r="AL49" s="42" t="s">
        <v>41</v>
      </c>
      <c r="AM49" s="14">
        <v>366</v>
      </c>
      <c r="AN49" s="14"/>
      <c r="AO49" s="4">
        <v>40</v>
      </c>
      <c r="AP49" s="5">
        <f t="shared" si="24"/>
        <v>20</v>
      </c>
      <c r="AQ49" s="6" t="s">
        <v>42</v>
      </c>
      <c r="AR49" s="6" t="s">
        <v>43</v>
      </c>
      <c r="AS49" s="3" t="s">
        <v>8</v>
      </c>
      <c r="AT49" s="4">
        <v>-4.4000000000000004</v>
      </c>
      <c r="AU49" s="3"/>
      <c r="AV49" s="4"/>
      <c r="AW49" s="4"/>
      <c r="AX49" s="4"/>
      <c r="AY49" s="4"/>
      <c r="AZ49" s="4"/>
      <c r="BA49" s="6" t="s">
        <v>44</v>
      </c>
      <c r="BB49" s="6" t="s">
        <v>45</v>
      </c>
      <c r="BC49" s="6" t="s">
        <v>46</v>
      </c>
      <c r="BD49" s="6" t="s">
        <v>47</v>
      </c>
      <c r="BE49" s="6" t="s">
        <v>20</v>
      </c>
      <c r="BF49" s="3"/>
      <c r="BG49" s="3" t="s">
        <v>13</v>
      </c>
      <c r="BH49" s="6"/>
      <c r="BI49" s="3"/>
      <c r="BJ49" s="3" t="s">
        <v>45</v>
      </c>
      <c r="BK49" s="7" t="s">
        <v>14</v>
      </c>
      <c r="BL49" t="s">
        <v>370</v>
      </c>
      <c r="BM49">
        <v>3</v>
      </c>
      <c r="BN49">
        <v>1</v>
      </c>
      <c r="BO49" t="s">
        <v>91</v>
      </c>
      <c r="BP49" t="s">
        <v>372</v>
      </c>
      <c r="BQ49" t="s">
        <v>370</v>
      </c>
      <c r="BR49" t="s">
        <v>219</v>
      </c>
      <c r="BS49"/>
      <c r="BT49" s="1"/>
      <c r="BU49" s="1"/>
      <c r="BV49" s="1"/>
      <c r="BW49" s="1"/>
      <c r="BX49" s="1"/>
    </row>
    <row r="50" spans="1:76" s="27" customFormat="1" hidden="1" x14ac:dyDescent="0.25">
      <c r="A50" s="24"/>
      <c r="B50" s="472" t="s">
        <v>358</v>
      </c>
      <c r="C50" t="s">
        <v>378</v>
      </c>
      <c r="D50" t="str">
        <f t="shared" si="25"/>
        <v>24P-Access</v>
      </c>
      <c r="E50" t="s">
        <v>651</v>
      </c>
      <c r="F50" s="468">
        <v>4</v>
      </c>
      <c r="G50">
        <f t="shared" si="26"/>
        <v>16</v>
      </c>
      <c r="H50" s="248" t="s">
        <v>423</v>
      </c>
      <c r="I50" s="248" t="s">
        <v>427</v>
      </c>
      <c r="J50" s="248" t="s">
        <v>586</v>
      </c>
      <c r="K50" s="61">
        <f t="shared" si="27"/>
        <v>0.59833676543245529</v>
      </c>
      <c r="L50" s="60">
        <f>IF(I50="Mechanical",(('Mob-Mech'!$E$47+'Demob-Mech'!$E$42)/G50),(('Mob-Hyd'!$E$47+'Demob-Hyd'!$E$42)/G50))</f>
        <v>42161.870759819998</v>
      </c>
      <c r="M50" s="56">
        <f t="shared" si="28"/>
        <v>-4.5985714285714296</v>
      </c>
      <c r="N50" s="56">
        <f t="shared" si="29"/>
        <v>4.5985714285714296</v>
      </c>
      <c r="O50" t="str">
        <f t="shared" si="30"/>
        <v>Averaged</v>
      </c>
      <c r="P50" s="58">
        <f t="shared" si="31"/>
        <v>13788.350002040819</v>
      </c>
      <c r="Q50" s="249">
        <v>1.1000000000000001</v>
      </c>
      <c r="R50" s="58">
        <f t="shared" si="32"/>
        <v>15167.185002244902</v>
      </c>
      <c r="S50" s="58">
        <f>R50*'PrismQC Vols'!$G$14</f>
        <v>1024.0139365091165</v>
      </c>
      <c r="T50" s="282">
        <f>IF(I50="Mechanical",S50/Prod!$D$21,S50/Prod!$D$11)</f>
        <v>1.5604021889662729</v>
      </c>
      <c r="U50" s="61">
        <f>IF(I50="Hydraulic",(T50*('DR-Hyd'!$O$13+'DR-Hyd'!$O$18+'DR-Hyd'!$O$24)/S50),(T50*('DR-Mech'!$O$13+'DR-Mech'!$O$18+'DR-Mech'!$O$24)/S50))</f>
        <v>15.253427281310477</v>
      </c>
      <c r="V50" s="61">
        <f>IF(I50="Hydraulic",(T50*'DR-Hyd'!$O$34)/S50,(T50*'DR-Mech'!$O$34)/S50)+5</f>
        <v>19.221610773333335</v>
      </c>
      <c r="W50" s="61">
        <f>IF(I50="Hydraulic",(Overhead!$F$39/S50)+((Overhead!$D$39/Table!G50)/S50),(Overhead!$K$39/S50)+((Overhead!I84/Table!G50)/S50))</f>
        <v>1.66566743464578</v>
      </c>
      <c r="X50" s="61">
        <f t="shared" si="33"/>
        <v>1</v>
      </c>
      <c r="Y50" s="61">
        <f>IF(H50="Upland",0,(IF(I50="Mechanical",(T50*'DR-Mech'!$O$24+'DR-Mech'!$O$34)/S50,(T50*'DR-Hyd'!$O$24+'DR-Hyd'!$O$34)/S50)))</f>
        <v>0</v>
      </c>
      <c r="Z50" s="301">
        <f t="shared" si="34"/>
        <v>37.140705489289594</v>
      </c>
      <c r="AA50" s="301">
        <f t="shared" si="35"/>
        <v>42.711811312683032</v>
      </c>
      <c r="AB50" s="302" t="str">
        <f t="shared" si="36"/>
        <v>High</v>
      </c>
      <c r="AC50" s="303">
        <f t="shared" si="37"/>
        <v>7.2830578512396688E-2</v>
      </c>
      <c r="AD50" s="404">
        <f t="shared" si="38"/>
        <v>8105.2221083786608</v>
      </c>
      <c r="AE50" s="61">
        <f t="shared" si="39"/>
        <v>0.74281410978579188</v>
      </c>
      <c r="AF50" s="61">
        <f t="shared" si="40"/>
        <v>0.8913769317429503</v>
      </c>
      <c r="AG50" s="61">
        <f t="shared" si="41"/>
        <v>1.1142211646786877</v>
      </c>
      <c r="AH50" s="301">
        <f t="shared" si="42"/>
        <v>2.7484122062074299</v>
      </c>
      <c r="AI50" s="301">
        <f t="shared" si="43"/>
        <v>3.160674037138544</v>
      </c>
      <c r="AJ50" s="310">
        <f t="shared" si="44"/>
        <v>39.889117695497021</v>
      </c>
      <c r="AK50" s="311">
        <f t="shared" si="45"/>
        <v>45.872485349821574</v>
      </c>
      <c r="AL50" s="472" t="s">
        <v>260</v>
      </c>
      <c r="AM50" s="474">
        <v>1269</v>
      </c>
      <c r="AN50" s="474"/>
      <c r="AO50" s="8">
        <v>100</v>
      </c>
      <c r="AP50" s="5">
        <f t="shared" si="24"/>
        <v>50</v>
      </c>
      <c r="AQ50" s="6"/>
      <c r="AR50" s="6"/>
      <c r="AS50" s="3"/>
      <c r="AT50" s="4"/>
      <c r="AU50" s="3"/>
      <c r="AV50" s="4"/>
      <c r="AW50" s="4"/>
      <c r="AX50" s="4"/>
      <c r="AY50" s="4"/>
      <c r="AZ50" s="4"/>
      <c r="BA50" s="6"/>
      <c r="BB50" s="6"/>
      <c r="BC50" s="6"/>
      <c r="BD50" s="6"/>
      <c r="BE50" s="6"/>
      <c r="BF50" s="3"/>
      <c r="BG50" s="3" t="s">
        <v>28</v>
      </c>
      <c r="BH50" s="6"/>
      <c r="BI50" s="3"/>
      <c r="BJ50" s="3"/>
      <c r="BK50" s="7" t="s">
        <v>14</v>
      </c>
      <c r="BL50" t="s">
        <v>375</v>
      </c>
      <c r="BM50">
        <v>4</v>
      </c>
      <c r="BN50">
        <v>1</v>
      </c>
      <c r="BO50" t="s">
        <v>91</v>
      </c>
      <c r="BP50" t="s">
        <v>372</v>
      </c>
      <c r="BQ50" t="s">
        <v>373</v>
      </c>
      <c r="BR50" t="s">
        <v>219</v>
      </c>
      <c r="BS50"/>
      <c r="BT50" s="1"/>
      <c r="BU50" s="1"/>
      <c r="BV50" s="1"/>
      <c r="BW50" s="1"/>
      <c r="BX50" s="1"/>
    </row>
    <row r="51" spans="1:76" s="27" customFormat="1" ht="30" hidden="1" x14ac:dyDescent="0.25">
      <c r="A51" s="24"/>
      <c r="B51" s="42" t="s">
        <v>197</v>
      </c>
      <c r="C51" t="s">
        <v>370</v>
      </c>
      <c r="D51" t="str">
        <f t="shared" si="25"/>
        <v>25-Private</v>
      </c>
      <c r="E51" t="s">
        <v>650</v>
      </c>
      <c r="F51" s="468">
        <v>4</v>
      </c>
      <c r="G51">
        <f t="shared" si="26"/>
        <v>16</v>
      </c>
      <c r="H51" s="248" t="s">
        <v>423</v>
      </c>
      <c r="I51" s="248" t="s">
        <v>427</v>
      </c>
      <c r="J51" s="248" t="s">
        <v>586</v>
      </c>
      <c r="K51" s="61">
        <f t="shared" si="27"/>
        <v>0.78720729476610229</v>
      </c>
      <c r="L51" s="60">
        <f>IF(I51="Mechanical",(('Mob-Mech'!$E$47+'Demob-Mech'!$E$42)/G51),(('Mob-Hyd'!$E$47+'Demob-Hyd'!$E$42)/G51))</f>
        <v>42161.870759819998</v>
      </c>
      <c r="M51" s="56">
        <f t="shared" si="28"/>
        <v>-4.5985714285714296</v>
      </c>
      <c r="N51" s="56">
        <f t="shared" si="29"/>
        <v>4.5985714285714296</v>
      </c>
      <c r="O51" t="str">
        <f t="shared" si="30"/>
        <v>Averaged</v>
      </c>
      <c r="P51" s="58">
        <f t="shared" si="31"/>
        <v>1715.2880675736969</v>
      </c>
      <c r="Q51" s="249">
        <v>1.1000000000000001</v>
      </c>
      <c r="R51" s="58">
        <f t="shared" si="32"/>
        <v>1886.8168743310669</v>
      </c>
      <c r="S51" s="58">
        <f>R51*'PrismQC Vols'!$G$14</f>
        <v>127.38862054294242</v>
      </c>
      <c r="T51" s="282">
        <f>IF(I51="Mechanical",S51/Prod!$D$21,S51/Prod!$D$11)</f>
        <v>0.1941159932082932</v>
      </c>
      <c r="U51" s="61">
        <f>IF(I51="Hydraulic",(T51*('DR-Hyd'!$O$13+'DR-Hyd'!$O$18+'DR-Hyd'!$O$24)/S51),(T51*('DR-Mech'!$O$13+'DR-Mech'!$O$18+'DR-Mech'!$O$24)/S51))</f>
        <v>15.253427281310476</v>
      </c>
      <c r="V51" s="61">
        <f>IF(I51="Hydraulic",(T51*'DR-Hyd'!$O$34)/S51,(T51*'DR-Mech'!$O$34)/S51)+5</f>
        <v>19.221610773333332</v>
      </c>
      <c r="W51" s="61">
        <f>IF(I51="Hydraulic",(Overhead!$F$39/S51)+((Overhead!$D$39/Table!G51)/S51),(Overhead!$K$39/S51)+((Overhead!I85/Table!G51)/S51))</f>
        <v>13.389474345486693</v>
      </c>
      <c r="X51" s="61">
        <f t="shared" si="33"/>
        <v>1</v>
      </c>
      <c r="Y51" s="61">
        <f>IF(H51="Upland",0,(IF(I51="Mechanical",(T51*'DR-Mech'!$O$24+'DR-Mech'!$O$34)/S51,(T51*'DR-Hyd'!$O$24+'DR-Hyd'!$O$34)/S51)))</f>
        <v>0</v>
      </c>
      <c r="Z51" s="301">
        <f t="shared" si="34"/>
        <v>48.864512400130494</v>
      </c>
      <c r="AA51" s="301">
        <f t="shared" si="35"/>
        <v>56.194189260150061</v>
      </c>
      <c r="AB51" s="302" t="str">
        <f t="shared" si="36"/>
        <v>Moderate</v>
      </c>
      <c r="AC51" s="303">
        <f t="shared" si="37"/>
        <v>3.4205693296602388E-3</v>
      </c>
      <c r="AD51" s="404">
        <f t="shared" si="38"/>
        <v>380.67079405781578</v>
      </c>
      <c r="AE51" s="61">
        <f t="shared" si="39"/>
        <v>0.97729024800260988</v>
      </c>
      <c r="AF51" s="61">
        <f t="shared" si="40"/>
        <v>1.1727482976031318</v>
      </c>
      <c r="AG51" s="61">
        <f t="shared" si="41"/>
        <v>1.4659353720039148</v>
      </c>
      <c r="AH51" s="301">
        <f t="shared" si="42"/>
        <v>3.6159739176096566</v>
      </c>
      <c r="AI51" s="301">
        <f t="shared" si="43"/>
        <v>4.158370005251105</v>
      </c>
      <c r="AJ51" s="310">
        <f t="shared" si="44"/>
        <v>52.480486317740151</v>
      </c>
      <c r="AK51" s="311">
        <f t="shared" si="45"/>
        <v>60.352559265401169</v>
      </c>
      <c r="AL51" s="42"/>
      <c r="AM51" s="14">
        <v>298</v>
      </c>
      <c r="AN51" s="14"/>
      <c r="AO51" s="4">
        <v>40</v>
      </c>
      <c r="AP51" s="5">
        <f t="shared" si="24"/>
        <v>20</v>
      </c>
      <c r="AQ51" s="6" t="s">
        <v>198</v>
      </c>
      <c r="AR51" s="6" t="s">
        <v>49</v>
      </c>
      <c r="AS51" s="3"/>
      <c r="AT51" s="4"/>
      <c r="AU51" s="3"/>
      <c r="AV51" s="4"/>
      <c r="AW51" s="4"/>
      <c r="AX51" s="4"/>
      <c r="AY51" s="4"/>
      <c r="AZ51" s="4"/>
      <c r="BA51" s="6"/>
      <c r="BB51" s="6" t="s">
        <v>326</v>
      </c>
      <c r="BC51" s="6" t="s">
        <v>85</v>
      </c>
      <c r="BD51" s="6" t="s">
        <v>199</v>
      </c>
      <c r="BE51" s="6" t="s">
        <v>134</v>
      </c>
      <c r="BF51" s="3"/>
      <c r="BG51" s="3" t="s">
        <v>13</v>
      </c>
      <c r="BH51" s="6"/>
      <c r="BI51" s="3"/>
      <c r="BJ51" s="3"/>
      <c r="BK51" s="7" t="s">
        <v>14</v>
      </c>
      <c r="BL51" t="s">
        <v>370</v>
      </c>
      <c r="BM51">
        <v>4</v>
      </c>
      <c r="BN51">
        <v>1</v>
      </c>
      <c r="BO51" t="s">
        <v>91</v>
      </c>
      <c r="BP51" t="s">
        <v>372</v>
      </c>
      <c r="BQ51" t="s">
        <v>370</v>
      </c>
      <c r="BR51" t="s">
        <v>219</v>
      </c>
      <c r="BS51"/>
      <c r="BT51" s="22"/>
      <c r="BU51" s="22"/>
      <c r="BV51" s="22"/>
      <c r="BW51" s="22"/>
      <c r="BX51" s="22"/>
    </row>
    <row r="52" spans="1:76" ht="30" hidden="1" x14ac:dyDescent="0.25">
      <c r="B52" s="42" t="s">
        <v>48</v>
      </c>
      <c r="C52" t="s">
        <v>370</v>
      </c>
      <c r="D52" t="str">
        <f t="shared" si="25"/>
        <v>26-Private</v>
      </c>
      <c r="E52" t="s">
        <v>650</v>
      </c>
      <c r="F52" s="468">
        <v>4</v>
      </c>
      <c r="G52">
        <f t="shared" si="26"/>
        <v>16</v>
      </c>
      <c r="H52" s="248" t="s">
        <v>423</v>
      </c>
      <c r="I52" s="248" t="s">
        <v>427</v>
      </c>
      <c r="J52" s="248" t="s">
        <v>586</v>
      </c>
      <c r="K52" s="61">
        <f t="shared" si="27"/>
        <v>0.60560128529900714</v>
      </c>
      <c r="L52" s="60">
        <f>IF(I52="Mechanical",(('Mob-Mech'!$E$47+'Demob-Mech'!$E$42)/G52),(('Mob-Hyd'!$E$47+'Demob-Hyd'!$E$42)/G52))</f>
        <v>42161.870759819998</v>
      </c>
      <c r="M52" s="56">
        <f t="shared" si="28"/>
        <v>-4.5985714285714296</v>
      </c>
      <c r="N52" s="56">
        <f t="shared" si="29"/>
        <v>4.5985714285714296</v>
      </c>
      <c r="O52" t="str">
        <f t="shared" si="30"/>
        <v>Averaged</v>
      </c>
      <c r="P52" s="58">
        <f t="shared" si="31"/>
        <v>10850.802281632657</v>
      </c>
      <c r="Q52" s="249">
        <v>1.1000000000000001</v>
      </c>
      <c r="R52" s="58">
        <f t="shared" si="32"/>
        <v>11935.882509795923</v>
      </c>
      <c r="S52" s="58">
        <f>R52*'PrismQC Vols'!$G$14</f>
        <v>805.85224171508287</v>
      </c>
      <c r="T52" s="282">
        <f>IF(I52="Mechanical",S52/Prod!$D$21,S52/Prod!$D$11)</f>
        <v>1.2279653207086978</v>
      </c>
      <c r="U52" s="61">
        <f>IF(I52="Hydraulic",(T52*('DR-Hyd'!$O$13+'DR-Hyd'!$O$18+'DR-Hyd'!$O$24)/S52),(T52*('DR-Mech'!$O$13+'DR-Mech'!$O$18+'DR-Mech'!$O$24)/S52))</f>
        <v>15.253427281310479</v>
      </c>
      <c r="V52" s="61">
        <f>IF(I52="Hydraulic",(T52*'DR-Hyd'!$O$34)/S52,(T52*'DR-Mech'!$O$34)/S52)+5</f>
        <v>19.221610773333335</v>
      </c>
      <c r="W52" s="61">
        <f>IF(I52="Hydraulic",(Overhead!$F$39/S52)+((Overhead!$D$39/Table!G52)/S52),(Overhead!$K$39/S52)+((Overhead!I86/Table!G52)/S52))</f>
        <v>2.1165997665236032</v>
      </c>
      <c r="X52" s="61">
        <f t="shared" si="33"/>
        <v>1</v>
      </c>
      <c r="Y52" s="61">
        <f>IF(H52="Upland",0,(IF(I52="Mechanical",(T52*'DR-Mech'!$O$24+'DR-Mech'!$O$34)/S52,(T52*'DR-Hyd'!$O$24+'DR-Hyd'!$O$34)/S52)))</f>
        <v>0</v>
      </c>
      <c r="Z52" s="301">
        <f t="shared" si="34"/>
        <v>37.591637821167424</v>
      </c>
      <c r="AA52" s="301">
        <f t="shared" si="35"/>
        <v>43.230383494342533</v>
      </c>
      <c r="AB52" s="302" t="str">
        <f t="shared" si="36"/>
        <v>Moderate</v>
      </c>
      <c r="AC52" s="303">
        <f t="shared" si="37"/>
        <v>2.6730371900826447E-2</v>
      </c>
      <c r="AD52" s="404">
        <f t="shared" si="38"/>
        <v>2974.7889653091897</v>
      </c>
      <c r="AE52" s="61">
        <f t="shared" si="39"/>
        <v>0.75183275642334846</v>
      </c>
      <c r="AF52" s="61">
        <f t="shared" si="40"/>
        <v>0.90219930770801815</v>
      </c>
      <c r="AG52" s="61">
        <f t="shared" si="41"/>
        <v>1.1277491346350226</v>
      </c>
      <c r="AH52" s="301">
        <f t="shared" si="42"/>
        <v>2.7817811987663892</v>
      </c>
      <c r="AI52" s="301">
        <f t="shared" si="43"/>
        <v>3.1990483785813475</v>
      </c>
      <c r="AJ52" s="310">
        <f t="shared" si="44"/>
        <v>40.373419019933813</v>
      </c>
      <c r="AK52" s="311">
        <f t="shared" si="45"/>
        <v>46.429431872923878</v>
      </c>
      <c r="AL52" s="42" t="s">
        <v>48</v>
      </c>
      <c r="AM52" s="14">
        <v>1242</v>
      </c>
      <c r="AN52" s="14"/>
      <c r="AO52" s="4">
        <v>75</v>
      </c>
      <c r="AP52" s="5">
        <f t="shared" si="24"/>
        <v>37.5</v>
      </c>
      <c r="AQ52" s="6" t="s">
        <v>49</v>
      </c>
      <c r="AR52" s="6" t="s">
        <v>50</v>
      </c>
      <c r="AS52" s="3" t="s">
        <v>51</v>
      </c>
      <c r="AT52" s="4"/>
      <c r="AU52" s="3"/>
      <c r="AV52" s="4"/>
      <c r="AW52" s="4"/>
      <c r="AX52" s="4"/>
      <c r="AY52" s="4"/>
      <c r="AZ52" s="4"/>
      <c r="BA52" s="6" t="s">
        <v>52</v>
      </c>
      <c r="BB52" s="6" t="s">
        <v>53</v>
      </c>
      <c r="BC52" s="6" t="s">
        <v>54</v>
      </c>
      <c r="BD52" s="6" t="s">
        <v>55</v>
      </c>
      <c r="BE52" s="6" t="s">
        <v>56</v>
      </c>
      <c r="BF52" s="3" t="s">
        <v>57</v>
      </c>
      <c r="BG52" s="3" t="s">
        <v>13</v>
      </c>
      <c r="BH52" s="6"/>
      <c r="BI52" s="3"/>
      <c r="BJ52" s="3" t="s">
        <v>53</v>
      </c>
      <c r="BK52" s="7" t="s">
        <v>14</v>
      </c>
      <c r="BL52" t="s">
        <v>370</v>
      </c>
      <c r="BM52">
        <v>4</v>
      </c>
      <c r="BN52">
        <v>1</v>
      </c>
      <c r="BO52" t="s">
        <v>374</v>
      </c>
      <c r="BP52" t="s">
        <v>372</v>
      </c>
      <c r="BQ52" t="s">
        <v>370</v>
      </c>
      <c r="BR52" t="s">
        <v>219</v>
      </c>
      <c r="BS52"/>
    </row>
    <row r="53" spans="1:76" ht="30" hidden="1" x14ac:dyDescent="0.25">
      <c r="A53" s="46" t="s">
        <v>396</v>
      </c>
      <c r="B53" s="473" t="s">
        <v>235</v>
      </c>
      <c r="C53" t="s">
        <v>378</v>
      </c>
      <c r="D53" t="str">
        <f t="shared" si="25"/>
        <v>26P-Access</v>
      </c>
      <c r="E53" t="s">
        <v>651</v>
      </c>
      <c r="F53" s="468">
        <v>4</v>
      </c>
      <c r="G53">
        <f t="shared" si="26"/>
        <v>16</v>
      </c>
      <c r="H53" s="248" t="s">
        <v>423</v>
      </c>
      <c r="I53" s="248" t="s">
        <v>427</v>
      </c>
      <c r="J53" s="248" t="s">
        <v>586</v>
      </c>
      <c r="K53" s="61">
        <f t="shared" si="27"/>
        <v>0.57831593421520744</v>
      </c>
      <c r="L53" s="60">
        <f>IF(I53="Mechanical",(('Mob-Mech'!$E$47+'Demob-Mech'!$E$42)/G53),(('Mob-Hyd'!$E$47+'Demob-Hyd'!$E$42)/G53))</f>
        <v>42161.870759819998</v>
      </c>
      <c r="M53" s="56">
        <f t="shared" si="28"/>
        <v>-4.5985714285714296</v>
      </c>
      <c r="N53" s="56">
        <f t="shared" si="29"/>
        <v>4.5985714285714296</v>
      </c>
      <c r="O53" t="str">
        <f t="shared" si="30"/>
        <v>Averaged</v>
      </c>
      <c r="P53" s="58">
        <f t="shared" si="31"/>
        <v>54306.674540136068</v>
      </c>
      <c r="Q53" s="249">
        <v>1.1000000000000001</v>
      </c>
      <c r="R53" s="58">
        <f t="shared" si="32"/>
        <v>59737.341994149676</v>
      </c>
      <c r="S53" s="58">
        <f>R53*'PrismQC Vols'!$G$14</f>
        <v>4033.1723205701319</v>
      </c>
      <c r="T53" s="282">
        <f>IF(I53="Mechanical",S53/Prod!$D$21,S53/Prod!$D$11)</f>
        <v>6.1457863932497245</v>
      </c>
      <c r="U53" s="61">
        <f>IF(I53="Hydraulic",(T53*('DR-Hyd'!$O$13+'DR-Hyd'!$O$18+'DR-Hyd'!$O$24)/S53),(T53*('DR-Mech'!$O$13+'DR-Mech'!$O$18+'DR-Mech'!$O$24)/S53))</f>
        <v>15.253427281310477</v>
      </c>
      <c r="V53" s="61">
        <f>IF(I53="Hydraulic",(T53*'DR-Hyd'!$O$34)/S53,(T53*'DR-Mech'!$O$34)/S53)+5</f>
        <v>19.221610773333332</v>
      </c>
      <c r="W53" s="61">
        <f>IF(I53="Hydraulic",(Overhead!$F$39/S53)+((Overhead!$D$39/Table!G53)/S53),(Overhead!$K$39/S53)+((Overhead!I87/Table!G53)/S53))</f>
        <v>0.42290944474833464</v>
      </c>
      <c r="X53" s="61">
        <f t="shared" si="33"/>
        <v>1</v>
      </c>
      <c r="Y53" s="61">
        <f>IF(H53="Upland",0,(IF(I53="Mechanical",(T53*'DR-Mech'!$O$24+'DR-Mech'!$O$34)/S53,(T53*'DR-Hyd'!$O$24+'DR-Hyd'!$O$34)/S53)))</f>
        <v>0</v>
      </c>
      <c r="Z53" s="301">
        <f t="shared" si="34"/>
        <v>35.897947499392146</v>
      </c>
      <c r="AA53" s="301">
        <f t="shared" si="35"/>
        <v>41.282639624300963</v>
      </c>
      <c r="AB53" s="302" t="str">
        <f t="shared" si="36"/>
        <v>High</v>
      </c>
      <c r="AC53" s="303">
        <f t="shared" si="37"/>
        <v>0.32162534435261708</v>
      </c>
      <c r="AD53" s="404">
        <f t="shared" si="38"/>
        <v>35793.273991610731</v>
      </c>
      <c r="AE53" s="61">
        <f t="shared" si="39"/>
        <v>0.71795894998784293</v>
      </c>
      <c r="AF53" s="61">
        <f t="shared" si="40"/>
        <v>0.86155073998541154</v>
      </c>
      <c r="AG53" s="61">
        <f t="shared" si="41"/>
        <v>1.0769384249817644</v>
      </c>
      <c r="AH53" s="301">
        <f t="shared" si="42"/>
        <v>2.656448114955019</v>
      </c>
      <c r="AI53" s="301">
        <f t="shared" si="43"/>
        <v>3.0549153321982714</v>
      </c>
      <c r="AJ53" s="310">
        <f t="shared" si="44"/>
        <v>38.554395614347165</v>
      </c>
      <c r="AK53" s="311">
        <f t="shared" si="45"/>
        <v>44.337554956499233</v>
      </c>
      <c r="AL53" s="41"/>
      <c r="AM53" s="29">
        <v>2802</v>
      </c>
      <c r="AN53" s="29"/>
      <c r="AO53" s="30">
        <v>200</v>
      </c>
      <c r="AP53" s="30">
        <f t="shared" si="24"/>
        <v>100</v>
      </c>
      <c r="AQ53" s="31"/>
      <c r="AR53" s="31"/>
      <c r="AS53" s="28"/>
      <c r="AT53" s="30"/>
      <c r="AU53" s="28"/>
      <c r="AV53" s="30"/>
      <c r="AW53" s="30"/>
      <c r="AX53" s="30"/>
      <c r="AY53" s="30"/>
      <c r="AZ53" s="30"/>
      <c r="BA53" s="31"/>
      <c r="BB53" s="31"/>
      <c r="BC53" s="31" t="s">
        <v>10</v>
      </c>
      <c r="BD53" s="31" t="s">
        <v>236</v>
      </c>
      <c r="BE53" s="31" t="s">
        <v>70</v>
      </c>
      <c r="BF53" s="28"/>
      <c r="BG53" s="28" t="s">
        <v>28</v>
      </c>
      <c r="BH53" s="31"/>
      <c r="BI53" s="28"/>
      <c r="BJ53" s="28"/>
      <c r="BK53" s="32" t="s">
        <v>14</v>
      </c>
      <c r="BL53" s="49" t="s">
        <v>375</v>
      </c>
      <c r="BM53" s="49">
        <v>4</v>
      </c>
      <c r="BN53" s="49">
        <v>1</v>
      </c>
      <c r="BO53" s="49" t="s">
        <v>374</v>
      </c>
      <c r="BP53" s="49" t="s">
        <v>375</v>
      </c>
      <c r="BQ53" s="49" t="s">
        <v>373</v>
      </c>
      <c r="BR53" s="49" t="s">
        <v>219</v>
      </c>
      <c r="BS53" s="49"/>
      <c r="BT53" s="27"/>
      <c r="BU53" s="27"/>
      <c r="BV53" s="27"/>
      <c r="BW53" s="27"/>
      <c r="BX53" s="27"/>
    </row>
    <row r="54" spans="1:76" ht="30" hidden="1" x14ac:dyDescent="0.25">
      <c r="A54" s="46" t="s">
        <v>396</v>
      </c>
      <c r="B54" s="48" t="s">
        <v>235</v>
      </c>
      <c r="C54" t="s">
        <v>655</v>
      </c>
      <c r="D54" t="str">
        <f t="shared" si="25"/>
        <v>26P-Access.1</v>
      </c>
      <c r="E54" t="s">
        <v>651</v>
      </c>
      <c r="F54" s="468">
        <v>4</v>
      </c>
      <c r="G54">
        <f t="shared" si="26"/>
        <v>16</v>
      </c>
      <c r="H54" s="248" t="s">
        <v>423</v>
      </c>
      <c r="I54" s="248" t="s">
        <v>427</v>
      </c>
      <c r="J54" s="248" t="s">
        <v>586</v>
      </c>
      <c r="K54" s="61">
        <f t="shared" si="27"/>
        <v>0.58075648660661205</v>
      </c>
      <c r="L54" s="60">
        <f>IF(I54="Mechanical",(('Mob-Mech'!$E$47+'Demob-Mech'!$E$42)/G54),(('Mob-Hyd'!$E$47+'Demob-Hyd'!$E$42)/G54))</f>
        <v>42161.870759819998</v>
      </c>
      <c r="M54" s="56">
        <f t="shared" si="28"/>
        <v>-4.5985714285714296</v>
      </c>
      <c r="N54" s="56">
        <f t="shared" si="29"/>
        <v>4.5985714285714296</v>
      </c>
      <c r="O54" t="str">
        <f t="shared" si="30"/>
        <v>Averaged</v>
      </c>
      <c r="P54" s="58">
        <f t="shared" si="31"/>
        <v>39983.822118594115</v>
      </c>
      <c r="Q54" s="249">
        <v>1.1000000000000001</v>
      </c>
      <c r="R54" s="58">
        <f t="shared" si="32"/>
        <v>43982.204330453533</v>
      </c>
      <c r="S54" s="58">
        <f>R54*'PrismQC Vols'!$G$14</f>
        <v>2969.46270425988</v>
      </c>
      <c r="T54" s="282">
        <f>IF(I54="Mechanical",S54/Prod!$D$21,S54/Prod!$D$11)</f>
        <v>4.5248955493483889</v>
      </c>
      <c r="U54" s="61">
        <f>IF(I54="Hydraulic",(T54*('DR-Hyd'!$O$13+'DR-Hyd'!$O$18+'DR-Hyd'!$O$24)/S54),(T54*('DR-Mech'!$O$13+'DR-Mech'!$O$18+'DR-Mech'!$O$24)/S54))</f>
        <v>15.253427281310477</v>
      </c>
      <c r="V54" s="61">
        <f>IF(I54="Hydraulic",(T54*'DR-Hyd'!$O$34)/S54,(T54*'DR-Mech'!$O$34)/S54)+5</f>
        <v>19.221610773333335</v>
      </c>
      <c r="W54" s="61">
        <f>IF(I54="Hydraulic",(Overhead!$F$39/S54)+((Overhead!$D$39/Table!G55)/S54),(Overhead!$K$39/S54)+((Overhead!I89/Table!G55)/S54))</f>
        <v>0.57440245476724838</v>
      </c>
      <c r="X54" s="61">
        <f t="shared" si="33"/>
        <v>1</v>
      </c>
      <c r="Y54" s="61">
        <f>IF(H54="Upland",0,(IF(I54="Mechanical",(T54*'DR-Mech'!$O$24+'DR-Mech'!$O$34)/S54,(T54*'DR-Hyd'!$O$24+'DR-Hyd'!$O$34)/S54)))</f>
        <v>0</v>
      </c>
      <c r="Z54" s="301">
        <f t="shared" si="34"/>
        <v>36.049440509411056</v>
      </c>
      <c r="AA54" s="301">
        <f t="shared" si="35"/>
        <v>41.456856585822713</v>
      </c>
      <c r="AB54" s="302" t="str">
        <f t="shared" si="36"/>
        <v>High</v>
      </c>
      <c r="AC54" s="303">
        <f t="shared" si="37"/>
        <v>0.23679981634527089</v>
      </c>
      <c r="AD54" s="404">
        <f t="shared" si="38"/>
        <v>26353.149266485703</v>
      </c>
      <c r="AE54" s="61">
        <f t="shared" si="39"/>
        <v>0.72098881018822114</v>
      </c>
      <c r="AF54" s="61">
        <f t="shared" si="40"/>
        <v>0.86518657222586537</v>
      </c>
      <c r="AG54" s="61">
        <f t="shared" si="41"/>
        <v>1.0814832152823317</v>
      </c>
      <c r="AH54" s="301">
        <f t="shared" si="42"/>
        <v>2.667658597696418</v>
      </c>
      <c r="AI54" s="301">
        <f t="shared" si="43"/>
        <v>3.0678073873508804</v>
      </c>
      <c r="AJ54" s="310">
        <f t="shared" si="44"/>
        <v>38.717099107107472</v>
      </c>
      <c r="AK54" s="311">
        <f t="shared" si="45"/>
        <v>44.524663973173588</v>
      </c>
      <c r="AL54" s="48"/>
      <c r="AM54" s="29">
        <v>2063</v>
      </c>
      <c r="AN54" s="29"/>
      <c r="AO54" s="30">
        <v>200</v>
      </c>
      <c r="AP54" s="30">
        <f t="shared" si="24"/>
        <v>100</v>
      </c>
      <c r="AQ54" s="31"/>
      <c r="AR54" s="31"/>
      <c r="AS54" s="28"/>
      <c r="AT54" s="30"/>
      <c r="AU54" s="28"/>
      <c r="AV54" s="30"/>
      <c r="AW54" s="30"/>
      <c r="AX54" s="30"/>
      <c r="AY54" s="30"/>
      <c r="AZ54" s="30"/>
      <c r="BA54" s="31"/>
      <c r="BB54" s="31"/>
      <c r="BC54" s="31" t="s">
        <v>10</v>
      </c>
      <c r="BD54" s="31" t="s">
        <v>236</v>
      </c>
      <c r="BE54" s="31" t="s">
        <v>70</v>
      </c>
      <c r="BF54" s="28"/>
      <c r="BG54" s="28" t="s">
        <v>28</v>
      </c>
      <c r="BH54" s="46"/>
      <c r="BI54" s="30"/>
      <c r="BJ54" s="30"/>
      <c r="BK54" s="53" t="s">
        <v>61</v>
      </c>
      <c r="BL54" s="49" t="s">
        <v>375</v>
      </c>
      <c r="BM54" s="49">
        <v>5</v>
      </c>
      <c r="BN54" s="49">
        <v>1</v>
      </c>
      <c r="BO54" s="49" t="s">
        <v>374</v>
      </c>
      <c r="BP54" s="49" t="s">
        <v>375</v>
      </c>
      <c r="BQ54" s="49" t="s">
        <v>373</v>
      </c>
      <c r="BR54" s="49" t="s">
        <v>219</v>
      </c>
      <c r="BS54" s="49"/>
      <c r="BT54" s="27"/>
      <c r="BU54" s="27"/>
      <c r="BV54" s="27"/>
      <c r="BW54" s="27"/>
      <c r="BX54" s="27"/>
    </row>
    <row r="55" spans="1:76" s="27" customFormat="1" ht="30" hidden="1" x14ac:dyDescent="0.25">
      <c r="A55" s="24"/>
      <c r="B55" s="42" t="s">
        <v>163</v>
      </c>
      <c r="C55" t="s">
        <v>370</v>
      </c>
      <c r="D55" t="str">
        <f t="shared" si="25"/>
        <v>27-Private</v>
      </c>
      <c r="E55" t="s">
        <v>650</v>
      </c>
      <c r="F55" s="468">
        <v>4</v>
      </c>
      <c r="G55">
        <f t="shared" si="26"/>
        <v>16</v>
      </c>
      <c r="H55" s="248" t="s">
        <v>423</v>
      </c>
      <c r="I55" s="248" t="s">
        <v>427</v>
      </c>
      <c r="J55" s="248" t="s">
        <v>586</v>
      </c>
      <c r="K55" s="61">
        <f t="shared" si="27"/>
        <v>0.81608601770585698</v>
      </c>
      <c r="L55" s="60">
        <f>IF(I55="Mechanical",(('Mob-Mech'!$E$47+'Demob-Mech'!$E$42)/G55),(('Mob-Hyd'!$E$47+'Demob-Hyd'!$E$42)/G55))</f>
        <v>42161.870759819998</v>
      </c>
      <c r="M55" s="56">
        <f t="shared" si="28"/>
        <v>-4.5985714285714296</v>
      </c>
      <c r="N55" s="56">
        <f t="shared" si="29"/>
        <v>4.5985714285714296</v>
      </c>
      <c r="O55" t="str">
        <f t="shared" si="30"/>
        <v>Averaged</v>
      </c>
      <c r="P55" s="58">
        <f t="shared" si="31"/>
        <v>1512.7584659863949</v>
      </c>
      <c r="Q55" s="249">
        <v>1.1000000000000001</v>
      </c>
      <c r="R55" s="58">
        <f t="shared" si="32"/>
        <v>1664.0343125850345</v>
      </c>
      <c r="S55" s="58">
        <f>R55*'PrismQC Vols'!$G$14</f>
        <v>112.34743471937833</v>
      </c>
      <c r="T55" s="282">
        <f>IF(I55="Mechanical",S55/Prod!$D$21,S55/Prod!$D$11)</f>
        <v>0.17119609100095745</v>
      </c>
      <c r="U55" s="61">
        <f>IF(I55="Hydraulic",(T55*('DR-Hyd'!$O$13+'DR-Hyd'!$O$18+'DR-Hyd'!$O$24)/S55),(T55*('DR-Mech'!$O$13+'DR-Mech'!$O$18+'DR-Mech'!$O$24)/S55))</f>
        <v>15.253427281310477</v>
      </c>
      <c r="V55" s="61">
        <f>IF(I55="Hydraulic",(T55*'DR-Hyd'!$O$34)/S55,(T55*'DR-Mech'!$O$34)/S55)+5</f>
        <v>19.221610773333335</v>
      </c>
      <c r="W55" s="61">
        <f>IF(I55="Hydraulic",(Overhead!$F$39/S55)+((Overhead!$D$39/Table!G56)/S55),(Overhead!$K$39/S55)+((Overhead!I90/Table!G56)/S55))</f>
        <v>15.182070431132537</v>
      </c>
      <c r="X55" s="61">
        <f t="shared" si="33"/>
        <v>1</v>
      </c>
      <c r="Y55" s="61">
        <f>IF(H55="Upland",0,(IF(I55="Mechanical",(T55*'DR-Mech'!$O$24+'DR-Mech'!$O$34)/S55,(T55*'DR-Hyd'!$O$24+'DR-Hyd'!$O$34)/S55)))</f>
        <v>0</v>
      </c>
      <c r="Z55" s="301">
        <f t="shared" si="34"/>
        <v>50.657108485776348</v>
      </c>
      <c r="AA55" s="301">
        <f t="shared" si="35"/>
        <v>58.255674758642797</v>
      </c>
      <c r="AB55" s="302" t="str">
        <f t="shared" si="36"/>
        <v>High</v>
      </c>
      <c r="AC55" s="303">
        <f t="shared" si="37"/>
        <v>6.473829201101928E-3</v>
      </c>
      <c r="AD55" s="404">
        <f t="shared" si="38"/>
        <v>720.46418741143657</v>
      </c>
      <c r="AE55" s="61">
        <f t="shared" si="39"/>
        <v>1.013142169715527</v>
      </c>
      <c r="AF55" s="61">
        <f t="shared" si="40"/>
        <v>1.2157706036586324</v>
      </c>
      <c r="AG55" s="61">
        <f t="shared" si="41"/>
        <v>1.5197132545732903</v>
      </c>
      <c r="AH55" s="301">
        <f t="shared" si="42"/>
        <v>3.7486260279474499</v>
      </c>
      <c r="AI55" s="301">
        <f t="shared" si="43"/>
        <v>4.3109199321395675</v>
      </c>
      <c r="AJ55" s="310">
        <f t="shared" si="44"/>
        <v>54.4057345137238</v>
      </c>
      <c r="AK55" s="311">
        <f t="shared" si="45"/>
        <v>62.566594690782367</v>
      </c>
      <c r="AL55" s="42" t="s">
        <v>163</v>
      </c>
      <c r="AM55" s="14">
        <v>235</v>
      </c>
      <c r="AN55" s="14"/>
      <c r="AO55" s="4">
        <v>48</v>
      </c>
      <c r="AP55" s="5">
        <f t="shared" si="24"/>
        <v>24</v>
      </c>
      <c r="AQ55" s="6" t="s">
        <v>164</v>
      </c>
      <c r="AR55" s="6" t="s">
        <v>59</v>
      </c>
      <c r="AS55" s="3" t="s">
        <v>8</v>
      </c>
      <c r="AT55" s="4">
        <v>-3.4</v>
      </c>
      <c r="AU55" s="3"/>
      <c r="AV55" s="4"/>
      <c r="AW55" s="4"/>
      <c r="AX55" s="4"/>
      <c r="AY55" s="4"/>
      <c r="AZ55" s="4"/>
      <c r="BA55" s="6" t="s">
        <v>165</v>
      </c>
      <c r="BB55" s="6" t="s">
        <v>160</v>
      </c>
      <c r="BC55" s="6"/>
      <c r="BD55" s="6"/>
      <c r="BE55" s="6"/>
      <c r="BF55" s="3"/>
      <c r="BG55" s="3" t="s">
        <v>28</v>
      </c>
      <c r="BH55" s="6"/>
      <c r="BI55" s="3"/>
      <c r="BJ55" s="3" t="s">
        <v>160</v>
      </c>
      <c r="BK55" s="7" t="s">
        <v>61</v>
      </c>
      <c r="BL55" t="s">
        <v>370</v>
      </c>
      <c r="BM55">
        <v>5</v>
      </c>
      <c r="BN55">
        <v>1</v>
      </c>
      <c r="BO55" t="s">
        <v>371</v>
      </c>
      <c r="BP55" t="s">
        <v>387</v>
      </c>
      <c r="BQ55" t="s">
        <v>373</v>
      </c>
      <c r="BR55" t="s">
        <v>219</v>
      </c>
      <c r="BS55"/>
      <c r="BT55" s="1"/>
      <c r="BU55" s="1"/>
      <c r="BV55" s="1"/>
      <c r="BW55" s="1"/>
      <c r="BX55" s="1"/>
    </row>
    <row r="56" spans="1:76" s="27" customFormat="1" hidden="1" x14ac:dyDescent="0.25">
      <c r="A56" s="24"/>
      <c r="B56" s="472" t="s">
        <v>58</v>
      </c>
      <c r="C56" t="s">
        <v>370</v>
      </c>
      <c r="D56" t="str">
        <f t="shared" si="25"/>
        <v>28-Private</v>
      </c>
      <c r="E56" t="s">
        <v>650</v>
      </c>
      <c r="F56" s="468">
        <v>4</v>
      </c>
      <c r="G56">
        <f t="shared" si="26"/>
        <v>16</v>
      </c>
      <c r="H56" s="248" t="s">
        <v>423</v>
      </c>
      <c r="I56" s="248" t="s">
        <v>427</v>
      </c>
      <c r="J56" s="248" t="s">
        <v>586</v>
      </c>
      <c r="K56" s="61">
        <f t="shared" si="27"/>
        <v>0.87178118583997966</v>
      </c>
      <c r="L56" s="60">
        <f>IF(I56="Mechanical",(('Mob-Mech'!$E$47+'Demob-Mech'!$E$42)/G56),(('Mob-Hyd'!$E$47+'Demob-Hyd'!$E$42)/G56))</f>
        <v>42161.870759819998</v>
      </c>
      <c r="M56" s="56">
        <f t="shared" si="28"/>
        <v>-4.5985714285714296</v>
      </c>
      <c r="N56" s="56">
        <f t="shared" si="29"/>
        <v>4.5985714285714296</v>
      </c>
      <c r="O56" t="str">
        <f t="shared" si="30"/>
        <v>Averaged</v>
      </c>
      <c r="P56" s="58">
        <f t="shared" si="31"/>
        <v>1232.1743188208623</v>
      </c>
      <c r="Q56" s="249">
        <v>1.1000000000000001</v>
      </c>
      <c r="R56" s="58">
        <f t="shared" si="32"/>
        <v>1355.3917507029487</v>
      </c>
      <c r="S56" s="58">
        <f>R56*'PrismQC Vols'!$G$14</f>
        <v>91.509402828796524</v>
      </c>
      <c r="T56" s="282">
        <f>IF(I56="Mechanical",S56/Prod!$D$21,S56/Prod!$D$11)</f>
        <v>0.13944289954864234</v>
      </c>
      <c r="U56" s="61">
        <f>IF(I56="Hydraulic",(T56*('DR-Hyd'!$O$13+'DR-Hyd'!$O$18+'DR-Hyd'!$O$24)/S56),(T56*('DR-Mech'!$O$13+'DR-Mech'!$O$18+'DR-Mech'!$O$24)/S56))</f>
        <v>15.253427281310479</v>
      </c>
      <c r="V56" s="61">
        <f>IF(I56="Hydraulic",(T56*'DR-Hyd'!$O$34)/S56,(T56*'DR-Mech'!$O$34)/S56)+5</f>
        <v>19.221610773333339</v>
      </c>
      <c r="W56" s="61">
        <f>IF(I56="Hydraulic",(Overhead!$F$39/S56)+((Overhead!$D$39/Table!G57)/S56),(Overhead!$K$39/S56)+((Overhead!I91/Table!G57)/S56))</f>
        <v>18.639250327726117</v>
      </c>
      <c r="X56" s="61">
        <f t="shared" si="33"/>
        <v>1</v>
      </c>
      <c r="Y56" s="61">
        <f>IF(H56="Upland",0,(IF(I56="Mechanical",(T56*'DR-Mech'!$O$24+'DR-Mech'!$O$34)/S56,(T56*'DR-Hyd'!$O$24+'DR-Hyd'!$O$34)/S56)))</f>
        <v>0</v>
      </c>
      <c r="Z56" s="301">
        <f t="shared" si="34"/>
        <v>54.114288382369935</v>
      </c>
      <c r="AA56" s="301">
        <f t="shared" si="35"/>
        <v>62.231431639725422</v>
      </c>
      <c r="AB56" s="302" t="str">
        <f t="shared" si="36"/>
        <v>High</v>
      </c>
      <c r="AC56" s="303">
        <f t="shared" si="37"/>
        <v>3.7752525252525257E-3</v>
      </c>
      <c r="AD56" s="404">
        <f t="shared" si="38"/>
        <v>420.14303411280412</v>
      </c>
      <c r="AE56" s="61">
        <f t="shared" si="39"/>
        <v>1.0822857676473987</v>
      </c>
      <c r="AF56" s="61">
        <f t="shared" si="40"/>
        <v>1.2987429211768784</v>
      </c>
      <c r="AG56" s="61">
        <f t="shared" si="41"/>
        <v>1.623428651471098</v>
      </c>
      <c r="AH56" s="301">
        <f t="shared" si="42"/>
        <v>4.0044573402953754</v>
      </c>
      <c r="AI56" s="301">
        <f t="shared" si="43"/>
        <v>4.605125941339681</v>
      </c>
      <c r="AJ56" s="310">
        <f t="shared" si="44"/>
        <v>58.118745722665309</v>
      </c>
      <c r="AK56" s="311">
        <f t="shared" si="45"/>
        <v>66.836557581065094</v>
      </c>
      <c r="AL56" s="472" t="s">
        <v>58</v>
      </c>
      <c r="AM56" s="474">
        <v>286</v>
      </c>
      <c r="AN56" s="474"/>
      <c r="AO56" s="4">
        <v>23</v>
      </c>
      <c r="AP56" s="5">
        <f t="shared" si="24"/>
        <v>11.5</v>
      </c>
      <c r="AQ56" s="6" t="s">
        <v>59</v>
      </c>
      <c r="AR56" s="6" t="s">
        <v>60</v>
      </c>
      <c r="AS56" s="3" t="s">
        <v>8</v>
      </c>
      <c r="AT56" s="4">
        <v>-3.4</v>
      </c>
      <c r="AU56" s="3"/>
      <c r="AV56" s="4"/>
      <c r="AW56" s="4"/>
      <c r="AX56" s="4"/>
      <c r="AY56" s="4"/>
      <c r="AZ56" s="4"/>
      <c r="BA56" s="6"/>
      <c r="BB56" s="6"/>
      <c r="BC56" s="6"/>
      <c r="BD56" s="6"/>
      <c r="BE56" s="6"/>
      <c r="BF56" s="3"/>
      <c r="BG56" s="3" t="s">
        <v>28</v>
      </c>
      <c r="BH56" s="475"/>
      <c r="BI56" s="472"/>
      <c r="BJ56" s="472"/>
      <c r="BK56" s="472" t="s">
        <v>61</v>
      </c>
      <c r="BL56" t="s">
        <v>370</v>
      </c>
      <c r="BM56">
        <v>5</v>
      </c>
      <c r="BN56">
        <v>1</v>
      </c>
      <c r="BO56" t="s">
        <v>371</v>
      </c>
      <c r="BP56" t="s">
        <v>387</v>
      </c>
      <c r="BQ56" t="s">
        <v>373</v>
      </c>
      <c r="BR56" t="s">
        <v>219</v>
      </c>
      <c r="BS56"/>
      <c r="BT56" s="22"/>
      <c r="BU56" s="22"/>
      <c r="BV56" s="22"/>
      <c r="BW56" s="22"/>
      <c r="BX56" s="22"/>
    </row>
    <row r="57" spans="1:76" ht="30" hidden="1" x14ac:dyDescent="0.25">
      <c r="B57" s="42" t="s">
        <v>62</v>
      </c>
      <c r="C57" t="s">
        <v>370</v>
      </c>
      <c r="D57" t="str">
        <f t="shared" si="25"/>
        <v>29-Private</v>
      </c>
      <c r="E57" t="s">
        <v>650</v>
      </c>
      <c r="F57" s="468">
        <v>4</v>
      </c>
      <c r="G57">
        <f t="shared" si="26"/>
        <v>16</v>
      </c>
      <c r="H57" s="248" t="s">
        <v>423</v>
      </c>
      <c r="I57" s="248" t="s">
        <v>427</v>
      </c>
      <c r="J57" s="248" t="s">
        <v>586</v>
      </c>
      <c r="K57" s="61">
        <f t="shared" si="27"/>
        <v>0.61463564875724275</v>
      </c>
      <c r="L57" s="60">
        <f>IF(I57="Mechanical",(('Mob-Mech'!$E$47+'Demob-Mech'!$E$42)/G57),(('Mob-Hyd'!$E$47+'Demob-Hyd'!$E$42)/G57))</f>
        <v>42161.870759819998</v>
      </c>
      <c r="M57" s="56">
        <f t="shared" si="28"/>
        <v>-4.5985714285714296</v>
      </c>
      <c r="N57" s="56">
        <f t="shared" si="29"/>
        <v>4.5985714285714296</v>
      </c>
      <c r="O57" t="str">
        <f t="shared" si="30"/>
        <v>Averaged</v>
      </c>
      <c r="P57" s="58">
        <f t="shared" si="31"/>
        <v>8578.0510544217705</v>
      </c>
      <c r="Q57" s="249">
        <v>1.1000000000000001</v>
      </c>
      <c r="R57" s="58">
        <f t="shared" si="32"/>
        <v>9435.8561598639481</v>
      </c>
      <c r="S57" s="58">
        <f>R57*'PrismQC Vols'!$G$14</f>
        <v>637.06272516395984</v>
      </c>
      <c r="T57" s="282">
        <f>IF(I57="Mechanical",S57/Prod!$D$21,S57/Prod!$D$11)</f>
        <v>0.9707622478688912</v>
      </c>
      <c r="U57" s="61">
        <f>IF(I57="Hydraulic",(T57*('DR-Hyd'!$O$13+'DR-Hyd'!$O$18+'DR-Hyd'!$O$24)/S57),(T57*('DR-Mech'!$O$13+'DR-Mech'!$O$18+'DR-Mech'!$O$24)/S57))</f>
        <v>15.253427281310476</v>
      </c>
      <c r="V57" s="61">
        <f>IF(I57="Hydraulic",(T57*'DR-Hyd'!$O$34)/S57,(T57*'DR-Mech'!$O$34)/S57)+5</f>
        <v>19.221610773333332</v>
      </c>
      <c r="W57" s="61">
        <f>IF(I57="Hydraulic",(Overhead!$F$39/S57)+((Overhead!$D$39/Table!G58)/S57),(Overhead!$K$39/S57)+((Overhead!I92/Table!G58)/S57))</f>
        <v>2.6773920358119869</v>
      </c>
      <c r="X57" s="61">
        <f t="shared" si="33"/>
        <v>1</v>
      </c>
      <c r="Y57" s="61">
        <f>IF(H57="Upland",0,(IF(I57="Mechanical",(T57*'DR-Mech'!$O$24+'DR-Mech'!$O$34)/S57,(T57*'DR-Hyd'!$O$24+'DR-Hyd'!$O$34)/S57)))</f>
        <v>0</v>
      </c>
      <c r="Z57" s="301">
        <f t="shared" si="34"/>
        <v>38.152430090455788</v>
      </c>
      <c r="AA57" s="301">
        <f t="shared" si="35"/>
        <v>43.875294604024155</v>
      </c>
      <c r="AB57" s="302" t="str">
        <f t="shared" si="36"/>
        <v>High</v>
      </c>
      <c r="AC57" s="303">
        <f t="shared" si="37"/>
        <v>3.9600550964187325E-2</v>
      </c>
      <c r="AD57" s="404">
        <f t="shared" si="38"/>
        <v>4407.0947634210215</v>
      </c>
      <c r="AE57" s="61">
        <f t="shared" si="39"/>
        <v>0.76304860180911582</v>
      </c>
      <c r="AF57" s="61">
        <f t="shared" si="40"/>
        <v>0.9156583221709389</v>
      </c>
      <c r="AG57" s="61">
        <f t="shared" si="41"/>
        <v>1.1445729027136735</v>
      </c>
      <c r="AH57" s="301">
        <f t="shared" si="42"/>
        <v>2.823279826693728</v>
      </c>
      <c r="AI57" s="301">
        <f t="shared" si="43"/>
        <v>3.246771800697787</v>
      </c>
      <c r="AJ57" s="310">
        <f t="shared" si="44"/>
        <v>40.975709917149516</v>
      </c>
      <c r="AK57" s="311">
        <f t="shared" si="45"/>
        <v>47.122066404721942</v>
      </c>
      <c r="AL57" s="42" t="s">
        <v>62</v>
      </c>
      <c r="AM57" s="14">
        <v>1150</v>
      </c>
      <c r="AN57" s="14"/>
      <c r="AO57" s="4">
        <v>60</v>
      </c>
      <c r="AP57" s="5">
        <f t="shared" si="24"/>
        <v>30</v>
      </c>
      <c r="AQ57" s="6" t="s">
        <v>60</v>
      </c>
      <c r="AR57" s="6" t="s">
        <v>63</v>
      </c>
      <c r="AS57" s="3" t="s">
        <v>51</v>
      </c>
      <c r="AT57" s="4"/>
      <c r="AU57" s="3" t="s">
        <v>8</v>
      </c>
      <c r="AV57" s="4">
        <v>-5.4</v>
      </c>
      <c r="AW57" s="4"/>
      <c r="AX57" s="4"/>
      <c r="AY57" s="4"/>
      <c r="AZ57" s="4"/>
      <c r="BA57" s="6"/>
      <c r="BB57" s="6"/>
      <c r="BC57" s="6" t="s">
        <v>64</v>
      </c>
      <c r="BD57" s="6" t="s">
        <v>65</v>
      </c>
      <c r="BE57" s="6" t="s">
        <v>40</v>
      </c>
      <c r="BF57" s="3" t="s">
        <v>66</v>
      </c>
      <c r="BG57" s="3" t="s">
        <v>28</v>
      </c>
      <c r="BH57" s="6"/>
      <c r="BI57" s="3"/>
      <c r="BJ57" s="3"/>
      <c r="BK57" s="7" t="s">
        <v>61</v>
      </c>
      <c r="BL57" t="s">
        <v>370</v>
      </c>
      <c r="BM57">
        <v>5</v>
      </c>
      <c r="BN57">
        <v>1</v>
      </c>
      <c r="BO57" t="s">
        <v>91</v>
      </c>
      <c r="BP57" t="s">
        <v>372</v>
      </c>
      <c r="BQ57" t="s">
        <v>370</v>
      </c>
      <c r="BR57" t="s">
        <v>219</v>
      </c>
      <c r="BS57"/>
    </row>
    <row r="58" spans="1:76" ht="30" hidden="1" x14ac:dyDescent="0.25">
      <c r="B58" s="42" t="s">
        <v>67</v>
      </c>
      <c r="C58" t="s">
        <v>370</v>
      </c>
      <c r="D58" t="str">
        <f t="shared" si="25"/>
        <v>30-Private</v>
      </c>
      <c r="E58" t="s">
        <v>650</v>
      </c>
      <c r="F58" s="468">
        <v>4</v>
      </c>
      <c r="G58">
        <f t="shared" si="26"/>
        <v>16</v>
      </c>
      <c r="H58" s="248" t="s">
        <v>423</v>
      </c>
      <c r="I58" s="248" t="s">
        <v>427</v>
      </c>
      <c r="J58" s="248" t="s">
        <v>586</v>
      </c>
      <c r="K58" s="61">
        <f t="shared" si="27"/>
        <v>0.6064860973203231</v>
      </c>
      <c r="L58" s="60">
        <f>IF(I58="Mechanical",(('Mob-Mech'!$E$47+'Demob-Mech'!$E$42)/G58),(('Mob-Hyd'!$E$47+'Demob-Hyd'!$E$42)/G58))</f>
        <v>42161.870759819998</v>
      </c>
      <c r="M58" s="56">
        <f t="shared" si="28"/>
        <v>-4.5985714285714296</v>
      </c>
      <c r="N58" s="56">
        <f t="shared" si="29"/>
        <v>4.5985714285714296</v>
      </c>
      <c r="O58" t="str">
        <f t="shared" si="30"/>
        <v>Averaged</v>
      </c>
      <c r="P58" s="58">
        <f t="shared" si="31"/>
        <v>10576.358808843539</v>
      </c>
      <c r="Q58" s="249">
        <v>1.1000000000000001</v>
      </c>
      <c r="R58" s="58">
        <f t="shared" si="32"/>
        <v>11633.994689727893</v>
      </c>
      <c r="S58" s="58">
        <f>R58*'PrismQC Vols'!$G$14</f>
        <v>785.47025685986659</v>
      </c>
      <c r="T58" s="282">
        <f>IF(I58="Mechanical",S58/Prod!$D$21,S58/Prod!$D$11)</f>
        <v>1.1969070580721777</v>
      </c>
      <c r="U58" s="61">
        <f>IF(I58="Hydraulic",(T58*('DR-Hyd'!$O$13+'DR-Hyd'!$O$18+'DR-Hyd'!$O$24)/S58),(T58*('DR-Mech'!$O$13+'DR-Mech'!$O$18+'DR-Mech'!$O$24)/S58))</f>
        <v>15.253427281310477</v>
      </c>
      <c r="V58" s="61">
        <f>IF(I58="Hydraulic",(T58*'DR-Hyd'!$O$34)/S58,(T58*'DR-Mech'!$O$34)/S58)+5</f>
        <v>19.221610773333332</v>
      </c>
      <c r="W58" s="61">
        <f>IF(I58="Hydraulic",(Overhead!$F$39/S58)+((Overhead!$D$39/Table!G59)/S58),(Overhead!$K$39/S58)+((Overhead!I93/Table!G59)/S58))</f>
        <v>2.1715229211676816</v>
      </c>
      <c r="X58" s="61">
        <f t="shared" si="33"/>
        <v>1</v>
      </c>
      <c r="Y58" s="61">
        <f>IF(H58="Upland",0,(IF(I58="Mechanical",(T58*'DR-Mech'!$O$24+'DR-Mech'!$O$34)/S58,(T58*'DR-Hyd'!$O$24+'DR-Hyd'!$O$34)/S58)))</f>
        <v>0</v>
      </c>
      <c r="Z58" s="301">
        <f t="shared" si="34"/>
        <v>37.646560975811489</v>
      </c>
      <c r="AA58" s="301">
        <f t="shared" si="35"/>
        <v>43.293545122183211</v>
      </c>
      <c r="AB58" s="302" t="str">
        <f t="shared" si="36"/>
        <v>High</v>
      </c>
      <c r="AC58" s="303">
        <f t="shared" si="37"/>
        <v>5.026515151515152E-2</v>
      </c>
      <c r="AD58" s="404">
        <f t="shared" si="38"/>
        <v>5593.9445444918829</v>
      </c>
      <c r="AE58" s="61">
        <f t="shared" si="39"/>
        <v>0.75293121951622977</v>
      </c>
      <c r="AF58" s="61">
        <f t="shared" si="40"/>
        <v>0.90351746341947581</v>
      </c>
      <c r="AG58" s="61">
        <f t="shared" si="41"/>
        <v>1.1293968292743446</v>
      </c>
      <c r="AH58" s="301">
        <f t="shared" si="42"/>
        <v>2.7858455122100501</v>
      </c>
      <c r="AI58" s="301">
        <f t="shared" si="43"/>
        <v>3.2037223390415575</v>
      </c>
      <c r="AJ58" s="310">
        <f t="shared" si="44"/>
        <v>40.432406488021542</v>
      </c>
      <c r="AK58" s="311">
        <f t="shared" si="45"/>
        <v>46.497267461224766</v>
      </c>
      <c r="AL58" s="42" t="s">
        <v>67</v>
      </c>
      <c r="AM58" s="14">
        <v>1327</v>
      </c>
      <c r="AN58" s="14"/>
      <c r="AO58" s="4">
        <v>66</v>
      </c>
      <c r="AP58" s="5">
        <f t="shared" si="24"/>
        <v>33</v>
      </c>
      <c r="AQ58" s="6" t="s">
        <v>63</v>
      </c>
      <c r="AR58" s="6" t="s">
        <v>68</v>
      </c>
      <c r="AS58" s="3" t="s">
        <v>8</v>
      </c>
      <c r="AT58" s="4">
        <v>-5.4</v>
      </c>
      <c r="AU58" s="3"/>
      <c r="AV58" s="4"/>
      <c r="AW58" s="4"/>
      <c r="AX58" s="4"/>
      <c r="AY58" s="4"/>
      <c r="AZ58" s="4"/>
      <c r="BA58" s="6"/>
      <c r="BB58" s="6"/>
      <c r="BC58" s="6" t="s">
        <v>54</v>
      </c>
      <c r="BD58" s="6" t="s">
        <v>69</v>
      </c>
      <c r="BE58" s="6" t="s">
        <v>70</v>
      </c>
      <c r="BF58" s="3" t="s">
        <v>20</v>
      </c>
      <c r="BG58" s="3" t="s">
        <v>28</v>
      </c>
      <c r="BH58" s="6"/>
      <c r="BI58" s="3"/>
      <c r="BJ58" s="3"/>
      <c r="BK58" s="7" t="s">
        <v>61</v>
      </c>
      <c r="BL58" t="s">
        <v>370</v>
      </c>
      <c r="BM58">
        <v>5</v>
      </c>
      <c r="BN58">
        <v>1</v>
      </c>
      <c r="BO58" t="s">
        <v>91</v>
      </c>
      <c r="BP58" t="s">
        <v>372</v>
      </c>
      <c r="BQ58" t="s">
        <v>370</v>
      </c>
      <c r="BR58" t="s">
        <v>219</v>
      </c>
      <c r="BS58"/>
    </row>
    <row r="59" spans="1:76" ht="45" hidden="1" x14ac:dyDescent="0.25">
      <c r="B59" s="42" t="s">
        <v>71</v>
      </c>
      <c r="C59" t="s">
        <v>370</v>
      </c>
      <c r="D59" t="str">
        <f t="shared" si="25"/>
        <v>31-Private</v>
      </c>
      <c r="E59" t="s">
        <v>650</v>
      </c>
      <c r="F59" s="468">
        <v>4</v>
      </c>
      <c r="G59">
        <f t="shared" si="26"/>
        <v>16</v>
      </c>
      <c r="H59" s="248" t="s">
        <v>423</v>
      </c>
      <c r="I59" s="248" t="s">
        <v>427</v>
      </c>
      <c r="J59" s="248" t="s">
        <v>586</v>
      </c>
      <c r="K59" s="61">
        <f t="shared" si="27"/>
        <v>0.57540942440979115</v>
      </c>
      <c r="L59" s="60">
        <f>IF(I59="Mechanical",(('Mob-Mech'!$E$47+'Demob-Mech'!$E$42)/G59),(('Mob-Hyd'!$E$47+'Demob-Hyd'!$E$42)/G59))</f>
        <v>42161.870759819998</v>
      </c>
      <c r="M59" s="56">
        <f t="shared" si="28"/>
        <v>-4.5985714285714296</v>
      </c>
      <c r="N59" s="56">
        <f t="shared" si="29"/>
        <v>4.5985714285714296</v>
      </c>
      <c r="O59" t="str">
        <f t="shared" si="30"/>
        <v>Averaged</v>
      </c>
      <c r="P59" s="58">
        <f t="shared" si="31"/>
        <v>94711.231880952415</v>
      </c>
      <c r="Q59" s="249">
        <v>1.1000000000000001</v>
      </c>
      <c r="R59" s="58">
        <f t="shared" si="32"/>
        <v>104182.35506904767</v>
      </c>
      <c r="S59" s="58">
        <f>R59*'PrismQC Vols'!$G$14</f>
        <v>7033.8816011841127</v>
      </c>
      <c r="T59" s="282">
        <f>IF(I59="Mechanical",S59/Prod!$D$21,S59/Prod!$D$11)</f>
        <v>10.718295773232933</v>
      </c>
      <c r="U59" s="61">
        <f>IF(I59="Hydraulic",(T59*('DR-Hyd'!$O$13+'DR-Hyd'!$O$18+'DR-Hyd'!$O$24)/S59),(T59*('DR-Mech'!$O$13+'DR-Mech'!$O$18+'DR-Mech'!$O$24)/S59))</f>
        <v>15.253427281310476</v>
      </c>
      <c r="V59" s="61">
        <f>IF(I59="Hydraulic",(T59*'DR-Hyd'!$O$34)/S59,(T59*'DR-Mech'!$O$34)/S59)+5</f>
        <v>19.221610773333332</v>
      </c>
      <c r="W59" s="61">
        <f>IF(I59="Hydraulic",(Overhead!$F$39/S59)+((Overhead!$D$39/Table!G60)/S59),(Overhead!$K$39/S59)+((Overhead!I94/Table!G60)/S59))</f>
        <v>0.24249294534322668</v>
      </c>
      <c r="X59" s="61">
        <f t="shared" si="33"/>
        <v>1</v>
      </c>
      <c r="Y59" s="61">
        <f>IF(H59="Upland",0,(IF(I59="Mechanical",(T59*'DR-Mech'!$O$24+'DR-Mech'!$O$34)/S59,(T59*'DR-Hyd'!$O$24+'DR-Hyd'!$O$34)/S59)))</f>
        <v>0</v>
      </c>
      <c r="Z59" s="301">
        <f t="shared" si="34"/>
        <v>35.717530999987034</v>
      </c>
      <c r="AA59" s="301">
        <f t="shared" si="35"/>
        <v>41.075160649985087</v>
      </c>
      <c r="AB59" s="302" t="str">
        <f t="shared" si="36"/>
        <v>High</v>
      </c>
      <c r="AC59" s="303">
        <f t="shared" si="37"/>
        <v>0.58453856749311295</v>
      </c>
      <c r="AD59" s="404">
        <f t="shared" si="38"/>
        <v>65052.5509644103</v>
      </c>
      <c r="AE59" s="61">
        <f t="shared" si="39"/>
        <v>0.7143506199997407</v>
      </c>
      <c r="AF59" s="61">
        <f t="shared" si="40"/>
        <v>0.85722074399968884</v>
      </c>
      <c r="AG59" s="61">
        <f t="shared" si="41"/>
        <v>1.0715259299996109</v>
      </c>
      <c r="AH59" s="301">
        <f t="shared" si="42"/>
        <v>2.6430972939990403</v>
      </c>
      <c r="AI59" s="301">
        <f t="shared" si="43"/>
        <v>3.0395618880988962</v>
      </c>
      <c r="AJ59" s="310">
        <f t="shared" si="44"/>
        <v>38.360628293986075</v>
      </c>
      <c r="AK59" s="311">
        <f t="shared" si="45"/>
        <v>44.114722538083981</v>
      </c>
      <c r="AL59" s="42" t="s">
        <v>71</v>
      </c>
      <c r="AM59" s="14">
        <v>3395</v>
      </c>
      <c r="AN59" s="14"/>
      <c r="AO59" s="4">
        <v>300</v>
      </c>
      <c r="AP59" s="5">
        <f t="shared" si="24"/>
        <v>150</v>
      </c>
      <c r="AQ59" s="6" t="s">
        <v>72</v>
      </c>
      <c r="AR59" s="6" t="s">
        <v>73</v>
      </c>
      <c r="AS59" s="3" t="s">
        <v>51</v>
      </c>
      <c r="AT59" s="4"/>
      <c r="AU59" s="3"/>
      <c r="AV59" s="4"/>
      <c r="AW59" s="4"/>
      <c r="AX59" s="4"/>
      <c r="AY59" s="4"/>
      <c r="AZ59" s="4"/>
      <c r="BA59" s="6" t="s">
        <v>74</v>
      </c>
      <c r="BB59" s="6" t="s">
        <v>75</v>
      </c>
      <c r="BC59" s="6" t="s">
        <v>76</v>
      </c>
      <c r="BD59" s="6" t="s">
        <v>77</v>
      </c>
      <c r="BE59" s="6" t="s">
        <v>78</v>
      </c>
      <c r="BF59" s="3" t="s">
        <v>79</v>
      </c>
      <c r="BG59" s="3" t="s">
        <v>28</v>
      </c>
      <c r="BH59" s="6"/>
      <c r="BI59" s="3"/>
      <c r="BJ59" s="3"/>
      <c r="BK59" s="7" t="s">
        <v>61</v>
      </c>
      <c r="BL59" t="s">
        <v>370</v>
      </c>
      <c r="BM59">
        <v>5</v>
      </c>
      <c r="BN59">
        <v>1</v>
      </c>
      <c r="BO59" t="s">
        <v>91</v>
      </c>
      <c r="BP59" t="s">
        <v>373</v>
      </c>
      <c r="BQ59" t="s">
        <v>373</v>
      </c>
      <c r="BR59" t="s">
        <v>219</v>
      </c>
      <c r="BS59"/>
    </row>
    <row r="60" spans="1:76" ht="45" hidden="1" x14ac:dyDescent="0.25">
      <c r="A60" s="46" t="s">
        <v>396</v>
      </c>
      <c r="B60" s="48" t="s">
        <v>208</v>
      </c>
      <c r="C60" t="s">
        <v>378</v>
      </c>
      <c r="D60" t="str">
        <f t="shared" si="25"/>
        <v>31A-Access</v>
      </c>
      <c r="E60" t="s">
        <v>651</v>
      </c>
      <c r="F60" s="468">
        <v>4</v>
      </c>
      <c r="G60">
        <f t="shared" si="26"/>
        <v>16</v>
      </c>
      <c r="H60" s="248" t="s">
        <v>423</v>
      </c>
      <c r="I60" s="248" t="s">
        <v>427</v>
      </c>
      <c r="J60" s="248" t="s">
        <v>586</v>
      </c>
      <c r="K60" s="61">
        <f t="shared" si="27"/>
        <v>0.57582670793389401</v>
      </c>
      <c r="L60" s="60">
        <f>IF(I60="Mechanical",(('Mob-Mech'!$E$47+'Demob-Mech'!$E$42)/G60),(('Mob-Hyd'!$E$47+'Demob-Hyd'!$E$42)/G60))</f>
        <v>42161.870759819998</v>
      </c>
      <c r="M60" s="56">
        <f t="shared" si="28"/>
        <v>-4.5985714285714296</v>
      </c>
      <c r="N60" s="56">
        <f t="shared" si="29"/>
        <v>4.5985714285714296</v>
      </c>
      <c r="O60" t="str">
        <f t="shared" si="30"/>
        <v>Averaged</v>
      </c>
      <c r="P60" s="58">
        <f t="shared" si="31"/>
        <v>85570.886247165559</v>
      </c>
      <c r="Q60" s="249">
        <v>1.1000000000000001</v>
      </c>
      <c r="R60" s="58">
        <f t="shared" si="32"/>
        <v>94127.974871882121</v>
      </c>
      <c r="S60" s="58">
        <f>R60*'PrismQC Vols'!$G$14</f>
        <v>6355.0591668737961</v>
      </c>
      <c r="T60" s="282">
        <f>IF(I60="Mechanical",S60/Prod!$D$21,S60/Prod!$D$11)</f>
        <v>9.6838996828553086</v>
      </c>
      <c r="U60" s="61">
        <f>IF(I60="Hydraulic",(T60*('DR-Hyd'!$O$13+'DR-Hyd'!$O$18+'DR-Hyd'!$O$24)/S60),(T60*('DR-Mech'!$O$13+'DR-Mech'!$O$18+'DR-Mech'!$O$24)/S60))</f>
        <v>15.253427281310476</v>
      </c>
      <c r="V60" s="61">
        <f>IF(I60="Hydraulic",(T60*'DR-Hyd'!$O$34)/S60,(T60*'DR-Mech'!$O$34)/S60)+5</f>
        <v>19.221610773333332</v>
      </c>
      <c r="W60" s="61">
        <f>IF(I60="Hydraulic",(Overhead!$F$39/S60)+((Overhead!$D$39/Table!G54)/S60),(Overhead!$K$39/S60)+((Overhead!I88/Table!G54)/S60))</f>
        <v>0.26839508836638015</v>
      </c>
      <c r="X60" s="61">
        <f t="shared" si="33"/>
        <v>1</v>
      </c>
      <c r="Y60" s="61">
        <f>IF(H60="Upland",0,(IF(I60="Mechanical",(T60*'DR-Mech'!$O$24+'DR-Mech'!$O$34)/S60,(T60*'DR-Hyd'!$O$24+'DR-Hyd'!$O$34)/S60)))</f>
        <v>0</v>
      </c>
      <c r="Z60" s="301">
        <f t="shared" si="34"/>
        <v>35.743433143010186</v>
      </c>
      <c r="AA60" s="301">
        <f t="shared" si="35"/>
        <v>41.104948114461713</v>
      </c>
      <c r="AB60" s="302" t="str">
        <f t="shared" si="36"/>
        <v>High</v>
      </c>
      <c r="AC60" s="303">
        <f t="shared" si="37"/>
        <v>0.53948576675849402</v>
      </c>
      <c r="AD60" s="404">
        <f t="shared" si="38"/>
        <v>60038.682284286377</v>
      </c>
      <c r="AE60" s="61">
        <f t="shared" si="39"/>
        <v>0.71486866286020379</v>
      </c>
      <c r="AF60" s="61">
        <f t="shared" si="40"/>
        <v>0.8578423954322445</v>
      </c>
      <c r="AG60" s="61">
        <f t="shared" si="41"/>
        <v>1.0723029942903055</v>
      </c>
      <c r="AH60" s="301">
        <f t="shared" si="42"/>
        <v>2.6450140525827539</v>
      </c>
      <c r="AI60" s="301">
        <f t="shared" si="43"/>
        <v>3.0417661604701669</v>
      </c>
      <c r="AJ60" s="310">
        <f t="shared" si="44"/>
        <v>38.388447195592938</v>
      </c>
      <c r="AK60" s="311">
        <f t="shared" si="45"/>
        <v>44.146714274931874</v>
      </c>
      <c r="AL60" s="48" t="s">
        <v>209</v>
      </c>
      <c r="AM60" s="30">
        <v>2350</v>
      </c>
      <c r="AN60" s="30"/>
      <c r="AO60" s="30">
        <v>400</v>
      </c>
      <c r="AP60" s="30">
        <f t="shared" si="24"/>
        <v>200</v>
      </c>
      <c r="AQ60" s="31" t="s">
        <v>324</v>
      </c>
      <c r="AR60" s="31"/>
      <c r="AS60" s="28" t="s">
        <v>8</v>
      </c>
      <c r="AT60" s="30">
        <v>-5.4</v>
      </c>
      <c r="AU60" s="28"/>
      <c r="AV60" s="30"/>
      <c r="AW60" s="30"/>
      <c r="AX60" s="30"/>
      <c r="AY60" s="30"/>
      <c r="AZ60" s="30"/>
      <c r="BA60" s="31" t="s">
        <v>210</v>
      </c>
      <c r="BB60" s="31"/>
      <c r="BC60" s="31"/>
      <c r="BD60" s="31" t="s">
        <v>211</v>
      </c>
      <c r="BE60" s="31" t="s">
        <v>212</v>
      </c>
      <c r="BF60" s="28"/>
      <c r="BG60" s="28" t="s">
        <v>28</v>
      </c>
      <c r="BH60" s="46"/>
      <c r="BI60" s="30"/>
      <c r="BJ60" s="30"/>
      <c r="BK60" s="53" t="s">
        <v>14</v>
      </c>
      <c r="BL60" s="49" t="s">
        <v>378</v>
      </c>
      <c r="BM60" s="49">
        <v>4</v>
      </c>
      <c r="BN60" s="49">
        <v>1</v>
      </c>
      <c r="BO60" s="49" t="s">
        <v>374</v>
      </c>
      <c r="BP60" s="49" t="s">
        <v>373</v>
      </c>
      <c r="BQ60" s="49" t="s">
        <v>373</v>
      </c>
      <c r="BR60" s="49" t="s">
        <v>219</v>
      </c>
      <c r="BS60" s="49"/>
      <c r="BT60" s="27"/>
      <c r="BU60" s="27"/>
      <c r="BV60" s="27"/>
      <c r="BW60" s="27"/>
      <c r="BX60" s="27"/>
    </row>
    <row r="61" spans="1:76" ht="45" hidden="1" x14ac:dyDescent="0.25">
      <c r="A61" s="46" t="s">
        <v>396</v>
      </c>
      <c r="B61" s="41" t="s">
        <v>208</v>
      </c>
      <c r="C61" t="s">
        <v>655</v>
      </c>
      <c r="D61" t="str">
        <f t="shared" si="25"/>
        <v>31A-Access.1</v>
      </c>
      <c r="E61" t="s">
        <v>651</v>
      </c>
      <c r="F61" s="468">
        <v>4</v>
      </c>
      <c r="G61">
        <f t="shared" si="26"/>
        <v>16</v>
      </c>
      <c r="H61" s="248" t="s">
        <v>423</v>
      </c>
      <c r="I61" s="248" t="s">
        <v>427</v>
      </c>
      <c r="J61" s="248" t="s">
        <v>586</v>
      </c>
      <c r="K61" s="61">
        <f t="shared" si="27"/>
        <v>0.57461306674960422</v>
      </c>
      <c r="L61" s="60">
        <f>IF(I61="Mechanical",(('Mob-Mech'!$E$47+'Demob-Mech'!$E$42)/G61),(('Mob-Hyd'!$E$47+'Demob-Hyd'!$E$42)/G61))</f>
        <v>42161.870759819998</v>
      </c>
      <c r="M61" s="56">
        <f t="shared" si="28"/>
        <v>-4.5985714285714296</v>
      </c>
      <c r="N61" s="56">
        <f t="shared" si="29"/>
        <v>4.5985714285714296</v>
      </c>
      <c r="O61" t="str">
        <f t="shared" si="30"/>
        <v>Averaged</v>
      </c>
      <c r="P61" s="58">
        <f t="shared" si="31"/>
        <v>118961.73845510207</v>
      </c>
      <c r="Q61" s="249">
        <v>1.1000000000000001</v>
      </c>
      <c r="R61" s="58">
        <f t="shared" si="32"/>
        <v>130857.91230061228</v>
      </c>
      <c r="S61" s="58">
        <f>R61*'PrismQC Vols'!$G$14</f>
        <v>8834.8843822028466</v>
      </c>
      <c r="T61" s="282">
        <f>IF(I61="Mechanical",S61/Prod!$D$21,S61/Prod!$D$11)</f>
        <v>13.462680963356719</v>
      </c>
      <c r="U61" s="61">
        <f>IF(I61="Hydraulic",(T61*('DR-Hyd'!$O$13+'DR-Hyd'!$O$18+'DR-Hyd'!$O$24)/S61),(T61*('DR-Mech'!$O$13+'DR-Mech'!$O$18+'DR-Mech'!$O$24)/S61))</f>
        <v>15.253427281310477</v>
      </c>
      <c r="V61" s="61">
        <f>IF(I61="Hydraulic",(T61*'DR-Hyd'!$O$34)/S61,(T61*'DR-Mech'!$O$34)/S61)+5</f>
        <v>19.221610773333335</v>
      </c>
      <c r="W61" s="61">
        <f>IF(I61="Hydraulic",(Overhead!$F$39/S61)+((Overhead!$D$39/Table!G61)/S61),(Overhead!$K$39/S61)+((Overhead!I95/Table!G61)/S61))</f>
        <v>0.19306044005540049</v>
      </c>
      <c r="X61" s="61">
        <f t="shared" si="33"/>
        <v>1</v>
      </c>
      <c r="Y61" s="61">
        <f>IF(H61="Upland",0,(IF(I61="Mechanical",(T61*'DR-Mech'!$O$24+'DR-Mech'!$O$34)/S61,(T61*'DR-Hyd'!$O$24+'DR-Hyd'!$O$34)/S61)))</f>
        <v>0</v>
      </c>
      <c r="Z61" s="301">
        <f t="shared" si="34"/>
        <v>35.668098494699208</v>
      </c>
      <c r="AA61" s="301">
        <f t="shared" si="35"/>
        <v>41.018313268904087</v>
      </c>
      <c r="AB61" s="302" t="str">
        <f t="shared" si="36"/>
        <v>High</v>
      </c>
      <c r="AC61" s="303">
        <f t="shared" si="37"/>
        <v>0.75</v>
      </c>
      <c r="AD61" s="404">
        <f t="shared" si="38"/>
        <v>83466.542562878138</v>
      </c>
      <c r="AE61" s="61">
        <f t="shared" si="39"/>
        <v>0.71336196989398415</v>
      </c>
      <c r="AF61" s="61">
        <f t="shared" si="40"/>
        <v>0.85603436387278098</v>
      </c>
      <c r="AG61" s="61">
        <f t="shared" si="41"/>
        <v>1.0700429548409762</v>
      </c>
      <c r="AH61" s="301">
        <f t="shared" si="42"/>
        <v>2.6394392886077416</v>
      </c>
      <c r="AI61" s="301">
        <f t="shared" si="43"/>
        <v>3.0353551818989026</v>
      </c>
      <c r="AJ61" s="310">
        <f t="shared" si="44"/>
        <v>38.307537783306948</v>
      </c>
      <c r="AK61" s="311">
        <f t="shared" si="45"/>
        <v>44.053668450802988</v>
      </c>
      <c r="AL61" s="41" t="s">
        <v>209</v>
      </c>
      <c r="AM61" s="29">
        <v>3267</v>
      </c>
      <c r="AN61" s="29"/>
      <c r="AO61" s="30">
        <v>400</v>
      </c>
      <c r="AP61" s="30">
        <f t="shared" si="24"/>
        <v>200</v>
      </c>
      <c r="AQ61" s="31" t="s">
        <v>324</v>
      </c>
      <c r="AR61" s="31"/>
      <c r="AS61" s="28" t="s">
        <v>8</v>
      </c>
      <c r="AT61" s="30">
        <v>-5.4</v>
      </c>
      <c r="AU61" s="28"/>
      <c r="AV61" s="30"/>
      <c r="AW61" s="30"/>
      <c r="AX61" s="30"/>
      <c r="AY61" s="30"/>
      <c r="AZ61" s="30"/>
      <c r="BA61" s="31" t="s">
        <v>210</v>
      </c>
      <c r="BB61" s="31"/>
      <c r="BC61" s="31"/>
      <c r="BD61" s="31" t="s">
        <v>211</v>
      </c>
      <c r="BE61" s="31" t="s">
        <v>212</v>
      </c>
      <c r="BF61" s="28"/>
      <c r="BG61" s="28" t="s">
        <v>28</v>
      </c>
      <c r="BH61" s="31"/>
      <c r="BI61" s="28"/>
      <c r="BJ61" s="28"/>
      <c r="BK61" s="32" t="s">
        <v>61</v>
      </c>
      <c r="BL61" s="49" t="s">
        <v>378</v>
      </c>
      <c r="BM61" s="49">
        <v>5</v>
      </c>
      <c r="BN61" s="49">
        <v>1</v>
      </c>
      <c r="BO61" s="49" t="s">
        <v>374</v>
      </c>
      <c r="BP61" s="49" t="s">
        <v>373</v>
      </c>
      <c r="BQ61" s="49" t="s">
        <v>373</v>
      </c>
      <c r="BR61" s="49" t="s">
        <v>219</v>
      </c>
      <c r="BS61" s="49"/>
      <c r="BT61" s="27"/>
      <c r="BU61" s="27"/>
      <c r="BV61" s="27"/>
      <c r="BW61" s="27"/>
      <c r="BX61" s="27"/>
    </row>
    <row r="62" spans="1:76" s="27" customFormat="1" ht="45" hidden="1" x14ac:dyDescent="0.25">
      <c r="A62" s="46" t="s">
        <v>398</v>
      </c>
      <c r="B62" s="42" t="s">
        <v>261</v>
      </c>
      <c r="C62" t="s">
        <v>370</v>
      </c>
      <c r="D62" t="str">
        <f t="shared" si="25"/>
        <v>31C-Private</v>
      </c>
      <c r="E62" t="s">
        <v>650</v>
      </c>
      <c r="F62" s="468">
        <v>4</v>
      </c>
      <c r="G62">
        <f t="shared" si="26"/>
        <v>16</v>
      </c>
      <c r="H62" s="248" t="s">
        <v>423</v>
      </c>
      <c r="I62" s="248" t="s">
        <v>427</v>
      </c>
      <c r="J62" s="248" t="s">
        <v>586</v>
      </c>
      <c r="K62" s="61">
        <f t="shared" si="27"/>
        <v>0.58345130971029602</v>
      </c>
      <c r="L62" s="60">
        <f>IF(I62="Mechanical",(('Mob-Mech'!$E$47+'Demob-Mech'!$E$42)/G62),(('Mob-Hyd'!$E$47+'Demob-Hyd'!$E$42)/G62))</f>
        <v>42161.870759819998</v>
      </c>
      <c r="M62" s="56">
        <f t="shared" si="28"/>
        <v>-4.5985714285714296</v>
      </c>
      <c r="N62" s="56">
        <f t="shared" si="29"/>
        <v>4.5985714285714296</v>
      </c>
      <c r="O62" t="str">
        <f t="shared" si="30"/>
        <v>Averaged</v>
      </c>
      <c r="P62" s="58">
        <f t="shared" si="31"/>
        <v>30965.969775510213</v>
      </c>
      <c r="Q62" s="249">
        <v>1.1000000000000001</v>
      </c>
      <c r="R62" s="58">
        <f t="shared" si="32"/>
        <v>34062.566753061241</v>
      </c>
      <c r="S62" s="58">
        <f>R62*'PrismQC Vols'!$G$14</f>
        <v>2299.7374307258806</v>
      </c>
      <c r="T62" s="282">
        <f>IF(I62="Mechanical",S62/Prod!$D$21,S62/Prod!$D$11)</f>
        <v>3.5043617992013418</v>
      </c>
      <c r="U62" s="61">
        <f>IF(I62="Hydraulic",(T62*('DR-Hyd'!$O$13+'DR-Hyd'!$O$18+'DR-Hyd'!$O$24)/S62),(T62*('DR-Mech'!$O$13+'DR-Mech'!$O$18+'DR-Mech'!$O$24)/S62))</f>
        <v>15.253427281310477</v>
      </c>
      <c r="V62" s="61">
        <f>IF(I62="Hydraulic",(T62*'DR-Hyd'!$O$34)/S62,(T62*'DR-Mech'!$O$34)/S62)+5</f>
        <v>19.221610773333335</v>
      </c>
      <c r="W62" s="61">
        <f>IF(I62="Hydraulic",(Overhead!$F$39/S62)+((Overhead!$D$39/Table!G62)/S62),(Overhead!$K$39/S62)+((Overhead!I96/Table!G62)/S62))</f>
        <v>0.7416788733695987</v>
      </c>
      <c r="X62" s="61">
        <f t="shared" si="33"/>
        <v>1</v>
      </c>
      <c r="Y62" s="61">
        <f>IF(H62="Upland",0,(IF(I62="Mechanical",(T62*'DR-Mech'!$O$24+'DR-Mech'!$O$34)/S62,(T62*'DR-Hyd'!$O$24+'DR-Hyd'!$O$34)/S62)))</f>
        <v>0</v>
      </c>
      <c r="Z62" s="301">
        <f t="shared" si="34"/>
        <v>36.216716928013412</v>
      </c>
      <c r="AA62" s="301">
        <f t="shared" si="35"/>
        <v>41.649224467215419</v>
      </c>
      <c r="AB62" s="302" t="str">
        <f t="shared" si="36"/>
        <v>High</v>
      </c>
      <c r="AC62" s="303">
        <f t="shared" si="37"/>
        <v>0.19111570247933884</v>
      </c>
      <c r="AD62" s="404">
        <f t="shared" si="38"/>
        <v>21269.022553901454</v>
      </c>
      <c r="AE62" s="61">
        <f t="shared" si="39"/>
        <v>0.7243343385602683</v>
      </c>
      <c r="AF62" s="61">
        <f t="shared" si="40"/>
        <v>0.86920120627232189</v>
      </c>
      <c r="AG62" s="61">
        <f t="shared" si="41"/>
        <v>1.0865015078404023</v>
      </c>
      <c r="AH62" s="301">
        <f t="shared" si="42"/>
        <v>2.6800370526729926</v>
      </c>
      <c r="AI62" s="301">
        <f t="shared" si="43"/>
        <v>3.0820426105739411</v>
      </c>
      <c r="AJ62" s="310">
        <f t="shared" si="44"/>
        <v>38.896753980686405</v>
      </c>
      <c r="AK62" s="311">
        <f t="shared" si="45"/>
        <v>44.731267077789362</v>
      </c>
      <c r="AL62" s="42"/>
      <c r="AM62" s="14">
        <v>1110</v>
      </c>
      <c r="AN62" s="14"/>
      <c r="AO62" s="4">
        <v>300</v>
      </c>
      <c r="AP62" s="5">
        <f t="shared" si="24"/>
        <v>150</v>
      </c>
      <c r="AQ62" s="6"/>
      <c r="AR62" s="6"/>
      <c r="AS62" s="3"/>
      <c r="AT62" s="4"/>
      <c r="AU62" s="3"/>
      <c r="AV62" s="4"/>
      <c r="AW62" s="4"/>
      <c r="AX62" s="4"/>
      <c r="AY62" s="4"/>
      <c r="AZ62" s="4"/>
      <c r="BA62" s="6"/>
      <c r="BB62" s="6"/>
      <c r="BC62" s="6"/>
      <c r="BD62" s="6" t="s">
        <v>141</v>
      </c>
      <c r="BE62" s="6"/>
      <c r="BF62" s="3"/>
      <c r="BG62" s="3" t="s">
        <v>28</v>
      </c>
      <c r="BH62" s="6"/>
      <c r="BI62" s="3"/>
      <c r="BJ62" s="3"/>
      <c r="BK62" s="7" t="s">
        <v>61</v>
      </c>
      <c r="BL62" t="s">
        <v>370</v>
      </c>
      <c r="BM62">
        <v>5</v>
      </c>
      <c r="BN62"/>
      <c r="BO62" t="s">
        <v>374</v>
      </c>
      <c r="BP62" t="s">
        <v>372</v>
      </c>
      <c r="BQ62" t="s">
        <v>43</v>
      </c>
      <c r="BR62" t="s">
        <v>219</v>
      </c>
      <c r="BS62"/>
      <c r="BT62" s="1"/>
      <c r="BU62" s="1"/>
      <c r="BV62" s="1"/>
      <c r="BW62" s="1"/>
      <c r="BX62" s="1"/>
    </row>
    <row r="63" spans="1:76" s="27" customFormat="1" ht="45" hidden="1" x14ac:dyDescent="0.25">
      <c r="A63" s="46" t="s">
        <v>398</v>
      </c>
      <c r="B63" s="472" t="s">
        <v>262</v>
      </c>
      <c r="C63" t="s">
        <v>370</v>
      </c>
      <c r="D63" t="str">
        <f t="shared" si="25"/>
        <v>31D-Private</v>
      </c>
      <c r="E63" t="s">
        <v>650</v>
      </c>
      <c r="F63" s="468">
        <v>4</v>
      </c>
      <c r="G63">
        <f t="shared" si="26"/>
        <v>16</v>
      </c>
      <c r="H63" s="248" t="s">
        <v>423</v>
      </c>
      <c r="I63" s="248" t="s">
        <v>427</v>
      </c>
      <c r="J63" s="248" t="s">
        <v>586</v>
      </c>
      <c r="K63" s="61">
        <f t="shared" si="27"/>
        <v>0.61412141388665742</v>
      </c>
      <c r="L63" s="60">
        <f>IF(I63="Mechanical",(('Mob-Mech'!$E$47+'Demob-Mech'!$E$42)/G63),(('Mob-Hyd'!$E$47+'Demob-Hyd'!$E$42)/G63))</f>
        <v>42161.870759819998</v>
      </c>
      <c r="M63" s="56">
        <f t="shared" si="28"/>
        <v>-4.5985714285714296</v>
      </c>
      <c r="N63" s="56">
        <f t="shared" si="29"/>
        <v>4.5985714285714296</v>
      </c>
      <c r="O63" t="str">
        <f t="shared" si="30"/>
        <v>Averaged</v>
      </c>
      <c r="P63" s="58">
        <f t="shared" si="31"/>
        <v>8681.5537049886643</v>
      </c>
      <c r="Q63" s="249">
        <v>1.1000000000000001</v>
      </c>
      <c r="R63" s="58">
        <f t="shared" si="32"/>
        <v>9549.7090754875317</v>
      </c>
      <c r="S63" s="58">
        <f>R63*'PrismQC Vols'!$G$14</f>
        <v>644.74951557981422</v>
      </c>
      <c r="T63" s="282">
        <f>IF(I63="Mechanical",S63/Prod!$D$21,S63/Prod!$D$11)</f>
        <v>0.98247545231209787</v>
      </c>
      <c r="U63" s="61">
        <f>IF(I63="Hydraulic",(T63*('DR-Hyd'!$O$13+'DR-Hyd'!$O$18+'DR-Hyd'!$O$24)/S63),(T63*('DR-Mech'!$O$13+'DR-Mech'!$O$18+'DR-Mech'!$O$24)/S63))</f>
        <v>15.253427281310476</v>
      </c>
      <c r="V63" s="61">
        <f>IF(I63="Hydraulic",(T63*'DR-Hyd'!$O$34)/S63,(T63*'DR-Mech'!$O$34)/S63)+5</f>
        <v>19.221610773333335</v>
      </c>
      <c r="W63" s="61">
        <f>IF(I63="Hydraulic",(Overhead!$F$39/S63)+((Overhead!$D$39/Table!G63)/S63),(Overhead!$K$39/S63)+((Overhead!I97/Table!G63)/S63))</f>
        <v>2.6454718079668265</v>
      </c>
      <c r="X63" s="61">
        <f t="shared" si="33"/>
        <v>1</v>
      </c>
      <c r="Y63" s="61">
        <f>IF(H63="Upland",0,(IF(I63="Mechanical",(T63*'DR-Mech'!$O$24+'DR-Mech'!$O$34)/S63,(T63*'DR-Hyd'!$O$24+'DR-Hyd'!$O$34)/S63)))</f>
        <v>0</v>
      </c>
      <c r="Z63" s="301">
        <f t="shared" si="34"/>
        <v>38.120509862610639</v>
      </c>
      <c r="AA63" s="301">
        <f t="shared" si="35"/>
        <v>43.83858634200223</v>
      </c>
      <c r="AB63" s="302" t="str">
        <f t="shared" si="36"/>
        <v>High</v>
      </c>
      <c r="AC63" s="303">
        <f t="shared" si="37"/>
        <v>4.5856290174471993E-2</v>
      </c>
      <c r="AD63" s="404">
        <f t="shared" si="38"/>
        <v>5103.2879941643423</v>
      </c>
      <c r="AE63" s="61">
        <f t="shared" si="39"/>
        <v>0.76241019725221282</v>
      </c>
      <c r="AF63" s="61">
        <f t="shared" si="40"/>
        <v>0.9148922367026554</v>
      </c>
      <c r="AG63" s="61">
        <f t="shared" si="41"/>
        <v>1.1436152958783192</v>
      </c>
      <c r="AH63" s="301">
        <f t="shared" si="42"/>
        <v>2.8209177298331873</v>
      </c>
      <c r="AI63" s="301">
        <f t="shared" si="43"/>
        <v>3.2440553893081652</v>
      </c>
      <c r="AJ63" s="310">
        <f t="shared" si="44"/>
        <v>40.94142759244383</v>
      </c>
      <c r="AK63" s="311">
        <f t="shared" si="45"/>
        <v>47.082641731310403</v>
      </c>
      <c r="AL63" s="472"/>
      <c r="AM63" s="474">
        <v>799</v>
      </c>
      <c r="AN63" s="474"/>
      <c r="AO63" s="4">
        <v>100</v>
      </c>
      <c r="AP63" s="5">
        <f t="shared" ref="AP63:AP94" si="46">0.5*AO63</f>
        <v>50</v>
      </c>
      <c r="AQ63" s="6"/>
      <c r="AR63" s="6"/>
      <c r="AS63" s="3"/>
      <c r="AT63" s="4"/>
      <c r="AU63" s="3"/>
      <c r="AV63" s="4"/>
      <c r="AW63" s="4"/>
      <c r="AX63" s="4"/>
      <c r="AY63" s="4"/>
      <c r="AZ63" s="4"/>
      <c r="BA63" s="6"/>
      <c r="BB63" s="6"/>
      <c r="BC63" s="6"/>
      <c r="BD63" s="6" t="s">
        <v>141</v>
      </c>
      <c r="BE63" s="6"/>
      <c r="BF63" s="3"/>
      <c r="BG63" s="3" t="s">
        <v>28</v>
      </c>
      <c r="BH63" s="6"/>
      <c r="BI63" s="3"/>
      <c r="BJ63" s="3"/>
      <c r="BK63" s="7" t="s">
        <v>61</v>
      </c>
      <c r="BL63" t="s">
        <v>370</v>
      </c>
      <c r="BM63">
        <v>5</v>
      </c>
      <c r="BN63"/>
      <c r="BO63" t="s">
        <v>374</v>
      </c>
      <c r="BP63" t="s">
        <v>372</v>
      </c>
      <c r="BQ63" t="s">
        <v>43</v>
      </c>
      <c r="BR63" t="s">
        <v>390</v>
      </c>
      <c r="BS63"/>
      <c r="BT63" s="1"/>
      <c r="BU63" s="1"/>
      <c r="BV63" s="1"/>
      <c r="BW63" s="1"/>
      <c r="BX63" s="1"/>
    </row>
    <row r="64" spans="1:76" s="27" customFormat="1" ht="45" hidden="1" x14ac:dyDescent="0.25">
      <c r="A64" s="46" t="s">
        <v>398</v>
      </c>
      <c r="B64" s="42" t="s">
        <v>263</v>
      </c>
      <c r="C64" t="s">
        <v>370</v>
      </c>
      <c r="D64" t="str">
        <f t="shared" si="25"/>
        <v>31E-Private</v>
      </c>
      <c r="E64" t="s">
        <v>650</v>
      </c>
      <c r="F64" s="468">
        <v>4</v>
      </c>
      <c r="G64">
        <f t="shared" si="26"/>
        <v>16</v>
      </c>
      <c r="H64" s="248" t="s">
        <v>423</v>
      </c>
      <c r="I64" s="248" t="s">
        <v>427</v>
      </c>
      <c r="J64" s="248" t="s">
        <v>586</v>
      </c>
      <c r="K64" s="61">
        <f t="shared" si="27"/>
        <v>0.61417607553548714</v>
      </c>
      <c r="L64" s="60">
        <f>IF(I64="Mechanical",(('Mob-Mech'!$E$47+'Demob-Mech'!$E$42)/G64),(('Mob-Hyd'!$E$47+'Demob-Hyd'!$E$42)/G64))</f>
        <v>42161.870759819998</v>
      </c>
      <c r="M64" s="56">
        <f t="shared" si="28"/>
        <v>-4.5985714285714296</v>
      </c>
      <c r="N64" s="56">
        <f t="shared" si="29"/>
        <v>4.5985714285714296</v>
      </c>
      <c r="O64" t="str">
        <f t="shared" si="30"/>
        <v>Averaged</v>
      </c>
      <c r="P64" s="58">
        <f t="shared" si="31"/>
        <v>8670.4331913832248</v>
      </c>
      <c r="Q64" s="249">
        <v>1.1000000000000001</v>
      </c>
      <c r="R64" s="58">
        <f t="shared" si="32"/>
        <v>9537.4765105215483</v>
      </c>
      <c r="S64" s="58">
        <f>R64*'PrismQC Vols'!$G$14</f>
        <v>643.92363279388098</v>
      </c>
      <c r="T64" s="282">
        <f>IF(I64="Mechanical",S64/Prod!$D$21,S64/Prod!$D$11)</f>
        <v>0.98121696425734251</v>
      </c>
      <c r="U64" s="61">
        <f>IF(I64="Hydraulic",(T64*('DR-Hyd'!$O$13+'DR-Hyd'!$O$18+'DR-Hyd'!$O$24)/S64),(T64*('DR-Mech'!$O$13+'DR-Mech'!$O$18+'DR-Mech'!$O$24)/S64))</f>
        <v>15.253427281310479</v>
      </c>
      <c r="V64" s="61">
        <f>IF(I64="Hydraulic",(T64*'DR-Hyd'!$O$34)/S64,(T64*'DR-Mech'!$O$34)/S64)+5</f>
        <v>19.221610773333335</v>
      </c>
      <c r="W64" s="61">
        <f>IF(I64="Hydraulic",(Overhead!$F$39/S64)+((Overhead!$D$39/Table!G64)/S64),(Overhead!$K$39/S64)+((Overhead!I98/Table!G64)/S64))</f>
        <v>2.6488648339649434</v>
      </c>
      <c r="X64" s="61">
        <f t="shared" si="33"/>
        <v>1</v>
      </c>
      <c r="Y64" s="61">
        <f>IF(H64="Upland",0,(IF(I64="Mechanical",(T64*'DR-Mech'!$O$24+'DR-Mech'!$O$34)/S64,(T64*'DR-Hyd'!$O$24+'DR-Hyd'!$O$34)/S64)))</f>
        <v>0</v>
      </c>
      <c r="Z64" s="301">
        <f t="shared" si="34"/>
        <v>38.123902888608761</v>
      </c>
      <c r="AA64" s="301">
        <f t="shared" si="35"/>
        <v>43.842488321900071</v>
      </c>
      <c r="AB64" s="302" t="str">
        <f t="shared" si="36"/>
        <v>High</v>
      </c>
      <c r="AC64" s="303">
        <f t="shared" si="37"/>
        <v>4.8394168962350784E-2</v>
      </c>
      <c r="AD64" s="404">
        <f t="shared" si="38"/>
        <v>5385.7252846548899</v>
      </c>
      <c r="AE64" s="61">
        <f t="shared" si="39"/>
        <v>0.76247805777217526</v>
      </c>
      <c r="AF64" s="61">
        <f t="shared" si="40"/>
        <v>0.91497366932661028</v>
      </c>
      <c r="AG64" s="61">
        <f t="shared" si="41"/>
        <v>1.1437170866582629</v>
      </c>
      <c r="AH64" s="301">
        <f t="shared" si="42"/>
        <v>2.8211688137570485</v>
      </c>
      <c r="AI64" s="301">
        <f t="shared" si="43"/>
        <v>3.2443441358206058</v>
      </c>
      <c r="AJ64" s="310">
        <f t="shared" si="44"/>
        <v>40.945071702365809</v>
      </c>
      <c r="AK64" s="311">
        <f t="shared" si="45"/>
        <v>47.086832457720675</v>
      </c>
      <c r="AL64" s="42"/>
      <c r="AM64" s="14">
        <v>634</v>
      </c>
      <c r="AN64" s="14"/>
      <c r="AO64" s="4">
        <v>133</v>
      </c>
      <c r="AP64" s="5">
        <f t="shared" si="46"/>
        <v>66.5</v>
      </c>
      <c r="AQ64" s="6"/>
      <c r="AR64" s="6"/>
      <c r="AS64" s="3"/>
      <c r="AT64" s="4"/>
      <c r="AU64" s="3"/>
      <c r="AV64" s="4"/>
      <c r="AW64" s="4"/>
      <c r="AX64" s="4"/>
      <c r="AY64" s="4"/>
      <c r="AZ64" s="4"/>
      <c r="BA64" s="6"/>
      <c r="BB64" s="6"/>
      <c r="BC64" s="6" t="s">
        <v>264</v>
      </c>
      <c r="BD64" s="6" t="s">
        <v>265</v>
      </c>
      <c r="BE64" s="6"/>
      <c r="BF64" s="3"/>
      <c r="BG64" s="3" t="s">
        <v>28</v>
      </c>
      <c r="BH64" s="6"/>
      <c r="BI64" s="3"/>
      <c r="BJ64" s="3"/>
      <c r="BK64" s="7" t="s">
        <v>61</v>
      </c>
      <c r="BL64" t="s">
        <v>370</v>
      </c>
      <c r="BM64">
        <v>5</v>
      </c>
      <c r="BN64"/>
      <c r="BO64" t="s">
        <v>91</v>
      </c>
      <c r="BP64" t="s">
        <v>372</v>
      </c>
      <c r="BQ64" t="s">
        <v>43</v>
      </c>
      <c r="BR64" t="s">
        <v>219</v>
      </c>
      <c r="BS64"/>
      <c r="BT64" s="1"/>
      <c r="BU64" s="1"/>
      <c r="BV64" s="1"/>
      <c r="BW64" s="1"/>
      <c r="BX64" s="1"/>
    </row>
    <row r="65" spans="1:76" s="27" customFormat="1" hidden="1" x14ac:dyDescent="0.25">
      <c r="A65" s="24"/>
      <c r="B65" s="42" t="s">
        <v>80</v>
      </c>
      <c r="C65" t="s">
        <v>370</v>
      </c>
      <c r="D65" t="str">
        <f t="shared" si="25"/>
        <v>32-Private</v>
      </c>
      <c r="E65" t="s">
        <v>650</v>
      </c>
      <c r="F65" s="468">
        <v>4</v>
      </c>
      <c r="G65">
        <f t="shared" si="26"/>
        <v>16</v>
      </c>
      <c r="H65" s="248" t="s">
        <v>423</v>
      </c>
      <c r="I65" s="248" t="s">
        <v>427</v>
      </c>
      <c r="J65" s="248" t="s">
        <v>586</v>
      </c>
      <c r="K65" s="61">
        <f t="shared" si="27"/>
        <v>0.61079665958750184</v>
      </c>
      <c r="L65" s="60">
        <f>IF(I65="Mechanical",(('Mob-Mech'!$E$47+'Demob-Mech'!$E$42)/G65),(('Mob-Hyd'!$E$47+'Demob-Hyd'!$E$42)/G65))</f>
        <v>42161.870759819998</v>
      </c>
      <c r="M65" s="56">
        <f t="shared" si="28"/>
        <v>-4.5985714285714296</v>
      </c>
      <c r="N65" s="56">
        <f t="shared" si="29"/>
        <v>4.5985714285714296</v>
      </c>
      <c r="O65" t="str">
        <f t="shared" si="30"/>
        <v>Averaged</v>
      </c>
      <c r="P65" s="58">
        <f t="shared" si="31"/>
        <v>9416.1234222222265</v>
      </c>
      <c r="Q65" s="249">
        <v>1.1000000000000001</v>
      </c>
      <c r="R65" s="58">
        <f t="shared" si="32"/>
        <v>10357.735764444449</v>
      </c>
      <c r="S65" s="58">
        <f>R65*'PrismQC Vols'!$G$14</f>
        <v>699.30351425792969</v>
      </c>
      <c r="T65" s="282">
        <f>IF(I65="Mechanical",S65/Prod!$D$21,S65/Prod!$D$11)</f>
        <v>1.0656053550597024</v>
      </c>
      <c r="U65" s="61">
        <f>IF(I65="Hydraulic",(T65*('DR-Hyd'!$O$13+'DR-Hyd'!$O$18+'DR-Hyd'!$O$24)/S65),(T65*('DR-Mech'!$O$13+'DR-Mech'!$O$18+'DR-Mech'!$O$24)/S65))</f>
        <v>15.253427281310479</v>
      </c>
      <c r="V65" s="61">
        <f>IF(I65="Hydraulic",(T65*'DR-Hyd'!$O$34)/S65,(T65*'DR-Mech'!$O$34)/S65)+5</f>
        <v>19.221610773333335</v>
      </c>
      <c r="W65" s="61">
        <f>IF(I65="Hydraulic",(Overhead!$F$39/S65)+((Overhead!$D$39/Table!G65)/S65),(Overhead!$K$39/S65)+((Overhead!I99/Table!G65)/S65))</f>
        <v>2.4390935150335196</v>
      </c>
      <c r="X65" s="61">
        <f t="shared" si="33"/>
        <v>1</v>
      </c>
      <c r="Y65" s="61">
        <f>IF(H65="Upland",0,(IF(I65="Mechanical",(T65*'DR-Mech'!$O$24+'DR-Mech'!$O$34)/S65,(T65*'DR-Hyd'!$O$24+'DR-Hyd'!$O$34)/S65)))</f>
        <v>0</v>
      </c>
      <c r="Z65" s="301">
        <f t="shared" si="34"/>
        <v>37.914131569677338</v>
      </c>
      <c r="AA65" s="301">
        <f t="shared" si="35"/>
        <v>43.601251305128933</v>
      </c>
      <c r="AB65" s="302" t="str">
        <f t="shared" si="36"/>
        <v>Moderate</v>
      </c>
      <c r="AC65" s="303">
        <f t="shared" si="37"/>
        <v>2.0866620752984389E-2</v>
      </c>
      <c r="AD65" s="404">
        <f t="shared" si="38"/>
        <v>2322.2195856298767</v>
      </c>
      <c r="AE65" s="61">
        <f t="shared" si="39"/>
        <v>0.75828263139354679</v>
      </c>
      <c r="AF65" s="61">
        <f t="shared" si="40"/>
        <v>0.90993915767225608</v>
      </c>
      <c r="AG65" s="61">
        <f t="shared" si="41"/>
        <v>1.13742394709032</v>
      </c>
      <c r="AH65" s="301">
        <f t="shared" si="42"/>
        <v>2.8056457361561229</v>
      </c>
      <c r="AI65" s="301">
        <f t="shared" si="43"/>
        <v>3.2264925965795412</v>
      </c>
      <c r="AJ65" s="310">
        <f t="shared" si="44"/>
        <v>40.71977730583346</v>
      </c>
      <c r="AK65" s="311">
        <f t="shared" si="45"/>
        <v>46.827743901708473</v>
      </c>
      <c r="AL65" s="472" t="s">
        <v>80</v>
      </c>
      <c r="AM65" s="474">
        <v>1372</v>
      </c>
      <c r="AN65" s="474"/>
      <c r="AO65" s="4">
        <v>53</v>
      </c>
      <c r="AP65" s="5">
        <f t="shared" si="46"/>
        <v>26.5</v>
      </c>
      <c r="AQ65" s="6" t="s">
        <v>81</v>
      </c>
      <c r="AR65" s="6" t="s">
        <v>82</v>
      </c>
      <c r="AS65" s="3" t="s">
        <v>8</v>
      </c>
      <c r="AT65" s="4">
        <v>-5.4</v>
      </c>
      <c r="AU65" s="3"/>
      <c r="AV65" s="4"/>
      <c r="AW65" s="4"/>
      <c r="AX65" s="4"/>
      <c r="AY65" s="4"/>
      <c r="AZ65" s="4"/>
      <c r="BA65" s="6" t="s">
        <v>83</v>
      </c>
      <c r="BB65" s="6" t="s">
        <v>84</v>
      </c>
      <c r="BC65" s="6" t="s">
        <v>85</v>
      </c>
      <c r="BD65" s="6" t="s">
        <v>86</v>
      </c>
      <c r="BE65" s="6" t="s">
        <v>12</v>
      </c>
      <c r="BF65" s="3"/>
      <c r="BG65" s="3" t="s">
        <v>13</v>
      </c>
      <c r="BH65" s="6"/>
      <c r="BI65" s="3"/>
      <c r="BJ65" s="3"/>
      <c r="BK65" s="7" t="s">
        <v>61</v>
      </c>
      <c r="BL65" t="s">
        <v>370</v>
      </c>
      <c r="BM65">
        <v>5</v>
      </c>
      <c r="BN65">
        <v>1</v>
      </c>
      <c r="BO65" t="s">
        <v>91</v>
      </c>
      <c r="BP65" t="s">
        <v>372</v>
      </c>
      <c r="BQ65" t="s">
        <v>373</v>
      </c>
      <c r="BR65" t="s">
        <v>219</v>
      </c>
      <c r="BS65"/>
      <c r="BT65" s="1"/>
      <c r="BU65" s="1"/>
      <c r="BV65" s="1"/>
      <c r="BW65" s="1"/>
      <c r="BX65" s="1"/>
    </row>
    <row r="66" spans="1:76" s="27" customFormat="1" ht="45" hidden="1" x14ac:dyDescent="0.25">
      <c r="A66" s="24"/>
      <c r="B66" s="42" t="s">
        <v>213</v>
      </c>
      <c r="C66" t="s">
        <v>378</v>
      </c>
      <c r="D66" t="str">
        <f t="shared" si="25"/>
        <v>32A-Access</v>
      </c>
      <c r="E66" t="s">
        <v>651</v>
      </c>
      <c r="F66">
        <v>5</v>
      </c>
      <c r="G66">
        <f t="shared" si="26"/>
        <v>15</v>
      </c>
      <c r="H66" s="248" t="s">
        <v>423</v>
      </c>
      <c r="I66" s="248" t="s">
        <v>427</v>
      </c>
      <c r="J66" s="248" t="s">
        <v>586</v>
      </c>
      <c r="K66" s="61">
        <f t="shared" si="27"/>
        <v>0.59033173288772567</v>
      </c>
      <c r="L66" s="60">
        <f>IF(I66="Mechanical",(('Mob-Mech'!$E$47+'Demob-Mech'!$E$42)/G66),(('Mob-Hyd'!$E$47+'Demob-Hyd'!$E$42)/G66))</f>
        <v>44972.662143807996</v>
      </c>
      <c r="M66" s="56">
        <f t="shared" si="28"/>
        <v>-4.5985714285714296</v>
      </c>
      <c r="N66" s="56">
        <f t="shared" si="29"/>
        <v>4.5985714285714296</v>
      </c>
      <c r="O66" t="str">
        <f t="shared" si="30"/>
        <v>Averaged</v>
      </c>
      <c r="P66" s="58">
        <f t="shared" si="31"/>
        <v>19650.421996598645</v>
      </c>
      <c r="Q66" s="249">
        <v>1.1000000000000001</v>
      </c>
      <c r="R66" s="58">
        <f t="shared" si="32"/>
        <v>21615.464196258512</v>
      </c>
      <c r="S66" s="58">
        <f>R66*'PrismQC Vols'!$G$14</f>
        <v>1459.3701189644885</v>
      </c>
      <c r="T66" s="282">
        <f>IF(I66="Mechanical",S66/Prod!$D$21,S66/Prod!$D$11)</f>
        <v>2.2238020860411254</v>
      </c>
      <c r="U66" s="61">
        <f>IF(I66="Hydraulic",(T66*('DR-Hyd'!$O$13+'DR-Hyd'!$O$18+'DR-Hyd'!$O$24)/S66),(T66*('DR-Mech'!$O$13+'DR-Mech'!$O$18+'DR-Mech'!$O$24)/S66))</f>
        <v>15.253427281310477</v>
      </c>
      <c r="V66" s="61">
        <f>IF(I66="Hydraulic",(T66*'DR-Hyd'!$O$34)/S66,(T66*'DR-Mech'!$O$34)/S66)+5</f>
        <v>19.221610773333335</v>
      </c>
      <c r="W66" s="61">
        <f>IF(I66="Hydraulic",(Overhead!$F$39/S66)+((Overhead!$D$39/Table!G66)/S66),(Overhead!$K$39/S66)+((Overhead!I100/Table!G66)/S66))</f>
        <v>1.1687690768103027</v>
      </c>
      <c r="X66" s="61">
        <f t="shared" si="33"/>
        <v>1</v>
      </c>
      <c r="Y66" s="61">
        <f>IF(H66="Upland",0,(IF(I66="Mechanical",(T66*'DR-Mech'!$O$24+'DR-Mech'!$O$34)/S66,(T66*'DR-Hyd'!$O$24+'DR-Hyd'!$O$34)/S66)))</f>
        <v>0</v>
      </c>
      <c r="Z66" s="301">
        <f t="shared" si="34"/>
        <v>36.643807131454111</v>
      </c>
      <c r="AA66" s="301">
        <f t="shared" si="35"/>
        <v>42.140378201172226</v>
      </c>
      <c r="AB66" s="302" t="str">
        <f t="shared" si="36"/>
        <v>High</v>
      </c>
      <c r="AC66" s="303">
        <f t="shared" si="37"/>
        <v>0.10939221763085399</v>
      </c>
      <c r="AD66" s="404">
        <f t="shared" si="38"/>
        <v>12174.12025191107</v>
      </c>
      <c r="AE66" s="61">
        <f t="shared" si="39"/>
        <v>0.73287614262908218</v>
      </c>
      <c r="AF66" s="61">
        <f t="shared" si="40"/>
        <v>0.87945137115489869</v>
      </c>
      <c r="AG66" s="61">
        <f t="shared" si="41"/>
        <v>1.0993142139436232</v>
      </c>
      <c r="AH66" s="301">
        <f t="shared" si="42"/>
        <v>2.7116417277276037</v>
      </c>
      <c r="AI66" s="301">
        <f t="shared" si="43"/>
        <v>3.1183879868867441</v>
      </c>
      <c r="AJ66" s="310">
        <f t="shared" si="44"/>
        <v>39.355448859181713</v>
      </c>
      <c r="AK66" s="311">
        <f t="shared" si="45"/>
        <v>45.258766188058964</v>
      </c>
      <c r="AL66" s="42"/>
      <c r="AM66" s="14">
        <v>1455</v>
      </c>
      <c r="AN66" s="14"/>
      <c r="AO66" s="4">
        <v>131</v>
      </c>
      <c r="AP66" s="5">
        <f t="shared" si="46"/>
        <v>65.5</v>
      </c>
      <c r="AQ66" s="6"/>
      <c r="AR66" s="6"/>
      <c r="AS66" s="3"/>
      <c r="AT66" s="4"/>
      <c r="AU66" s="3"/>
      <c r="AV66" s="4"/>
      <c r="AW66" s="4"/>
      <c r="AX66" s="4"/>
      <c r="AY66" s="19"/>
      <c r="AZ66" s="19"/>
      <c r="BA66" s="6"/>
      <c r="BB66" s="6" t="s">
        <v>214</v>
      </c>
      <c r="BC66" s="6" t="s">
        <v>10</v>
      </c>
      <c r="BD66" s="6" t="s">
        <v>215</v>
      </c>
      <c r="BE66" s="6" t="s">
        <v>216</v>
      </c>
      <c r="BF66" s="3"/>
      <c r="BG66" s="3" t="s">
        <v>28</v>
      </c>
      <c r="BH66" s="6"/>
      <c r="BI66" s="3"/>
      <c r="BJ66" s="3"/>
      <c r="BK66" s="7" t="s">
        <v>61</v>
      </c>
      <c r="BL66" t="s">
        <v>378</v>
      </c>
      <c r="BM66">
        <v>5</v>
      </c>
      <c r="BN66">
        <v>1</v>
      </c>
      <c r="BO66" t="s">
        <v>374</v>
      </c>
      <c r="BP66" t="s">
        <v>373</v>
      </c>
      <c r="BQ66" t="s">
        <v>373</v>
      </c>
      <c r="BR66" t="s">
        <v>219</v>
      </c>
      <c r="BS66"/>
      <c r="BT66" s="1"/>
      <c r="BU66" s="1"/>
      <c r="BV66" s="1"/>
      <c r="BW66" s="1"/>
      <c r="BX66" s="1"/>
    </row>
    <row r="67" spans="1:76" s="27" customFormat="1" ht="45" hidden="1" x14ac:dyDescent="0.25">
      <c r="A67" s="46" t="s">
        <v>397</v>
      </c>
      <c r="B67" s="48" t="s">
        <v>217</v>
      </c>
      <c r="C67" t="s">
        <v>378</v>
      </c>
      <c r="D67" t="str">
        <f t="shared" si="25"/>
        <v>32B-Access</v>
      </c>
      <c r="E67" t="s">
        <v>651</v>
      </c>
      <c r="F67">
        <v>5</v>
      </c>
      <c r="G67">
        <f t="shared" si="26"/>
        <v>15</v>
      </c>
      <c r="H67" s="248" t="s">
        <v>423</v>
      </c>
      <c r="I67" s="248" t="s">
        <v>427</v>
      </c>
      <c r="J67" s="248" t="s">
        <v>586</v>
      </c>
      <c r="K67" s="61">
        <f t="shared" si="27"/>
        <v>0.64200435811258927</v>
      </c>
      <c r="L67" s="60">
        <f>IF(I67="Mechanical",(('Mob-Mech'!$E$47+'Demob-Mech'!$E$42)/G67),(('Mob-Hyd'!$E$47+'Demob-Hyd'!$E$42)/G67))</f>
        <v>44972.662143807996</v>
      </c>
      <c r="M67" s="56">
        <f t="shared" si="28"/>
        <v>-4.5985714285714296</v>
      </c>
      <c r="N67" s="56">
        <f t="shared" si="29"/>
        <v>4.5985714285714296</v>
      </c>
      <c r="O67" t="str">
        <f t="shared" si="30"/>
        <v>Averaged</v>
      </c>
      <c r="P67" s="58">
        <f t="shared" si="31"/>
        <v>5248.048109523811</v>
      </c>
      <c r="Q67" s="249">
        <v>1.1000000000000001</v>
      </c>
      <c r="R67" s="58">
        <f t="shared" si="32"/>
        <v>5772.8529204761926</v>
      </c>
      <c r="S67" s="58">
        <f>R67*'PrismQC Vols'!$G$14</f>
        <v>389.75471342309174</v>
      </c>
      <c r="T67" s="282">
        <f>IF(I67="Mechanical",S67/Prod!$D$21,S67/Prod!$D$11)</f>
        <v>0.59391194426375882</v>
      </c>
      <c r="U67" s="61">
        <f>IF(I67="Hydraulic",(T67*('DR-Hyd'!$O$13+'DR-Hyd'!$O$18+'DR-Hyd'!$O$24)/S67),(T67*('DR-Mech'!$O$13+'DR-Mech'!$O$18+'DR-Mech'!$O$24)/S67))</f>
        <v>15.253427281310476</v>
      </c>
      <c r="V67" s="61">
        <f>IF(I67="Hydraulic",(T67*'DR-Hyd'!$O$34)/S67,(T67*'DR-Mech'!$O$34)/S67)+5</f>
        <v>19.221610773333332</v>
      </c>
      <c r="W67" s="61">
        <f>IF(I67="Hydraulic",(Overhead!$F$39/S67)+((Overhead!$D$39/Table!G68)/S67),(Overhead!$K$39/S67)+((Overhead!I102/Table!G68)/S67))</f>
        <v>4.376256676119036</v>
      </c>
      <c r="X67" s="61">
        <f t="shared" si="33"/>
        <v>1</v>
      </c>
      <c r="Y67" s="61">
        <f>IF(H67="Upland",0,(IF(I67="Mechanical",(T67*'DR-Mech'!$O$24+'DR-Mech'!$O$34)/S67,(T67*'DR-Hyd'!$O$24+'DR-Hyd'!$O$34)/S67)))</f>
        <v>0</v>
      </c>
      <c r="Z67" s="301">
        <f t="shared" si="34"/>
        <v>39.851294730762838</v>
      </c>
      <c r="AA67" s="301">
        <f t="shared" si="35"/>
        <v>45.828988940377258</v>
      </c>
      <c r="AB67" s="302" t="str">
        <f t="shared" si="36"/>
        <v>High</v>
      </c>
      <c r="AC67" s="303">
        <f t="shared" si="37"/>
        <v>2.7720385674931129E-2</v>
      </c>
      <c r="AD67" s="404">
        <f t="shared" si="38"/>
        <v>3084.966334394715</v>
      </c>
      <c r="AE67" s="61">
        <f t="shared" si="39"/>
        <v>0.79702589461525675</v>
      </c>
      <c r="AF67" s="61">
        <f t="shared" si="40"/>
        <v>0.95643107353830814</v>
      </c>
      <c r="AG67" s="61">
        <f t="shared" si="41"/>
        <v>1.1955388419228852</v>
      </c>
      <c r="AH67" s="301">
        <f t="shared" si="42"/>
        <v>2.94899581007645</v>
      </c>
      <c r="AI67" s="301">
        <f t="shared" si="43"/>
        <v>3.391345181587917</v>
      </c>
      <c r="AJ67" s="310">
        <f t="shared" si="44"/>
        <v>42.800290540839285</v>
      </c>
      <c r="AK67" s="311">
        <f t="shared" si="45"/>
        <v>49.220334121965173</v>
      </c>
      <c r="AL67" s="48"/>
      <c r="AM67" s="30">
        <v>483</v>
      </c>
      <c r="AN67" s="30"/>
      <c r="AO67" s="30">
        <v>100</v>
      </c>
      <c r="AP67" s="30">
        <f t="shared" si="46"/>
        <v>50</v>
      </c>
      <c r="AQ67" s="31"/>
      <c r="AR67" s="31"/>
      <c r="AS67" s="28"/>
      <c r="AT67" s="30"/>
      <c r="AU67" s="28"/>
      <c r="AV67" s="30"/>
      <c r="AW67" s="30"/>
      <c r="AX67" s="30"/>
      <c r="AY67" s="30"/>
      <c r="AZ67" s="30"/>
      <c r="BA67" s="31"/>
      <c r="BB67" s="31" t="s">
        <v>218</v>
      </c>
      <c r="BC67" s="31" t="s">
        <v>10</v>
      </c>
      <c r="BD67" s="31" t="s">
        <v>19</v>
      </c>
      <c r="BE67" s="31" t="s">
        <v>27</v>
      </c>
      <c r="BF67" s="28" t="s">
        <v>219</v>
      </c>
      <c r="BG67" s="28" t="s">
        <v>28</v>
      </c>
      <c r="BH67" s="31"/>
      <c r="BI67" s="28"/>
      <c r="BJ67" s="28"/>
      <c r="BK67" s="32" t="s">
        <v>61</v>
      </c>
      <c r="BL67" s="49" t="s">
        <v>375</v>
      </c>
      <c r="BM67" s="49">
        <v>5</v>
      </c>
      <c r="BN67" s="49">
        <v>1</v>
      </c>
      <c r="BO67" s="49" t="s">
        <v>371</v>
      </c>
      <c r="BP67" s="49" t="s">
        <v>373</v>
      </c>
      <c r="BQ67" s="49" t="s">
        <v>391</v>
      </c>
      <c r="BR67" s="49" t="s">
        <v>392</v>
      </c>
      <c r="BS67" s="49"/>
    </row>
    <row r="68" spans="1:76" ht="45" hidden="1" x14ac:dyDescent="0.25">
      <c r="A68" s="46" t="s">
        <v>397</v>
      </c>
      <c r="B68" s="41" t="s">
        <v>217</v>
      </c>
      <c r="C68" t="s">
        <v>370</v>
      </c>
      <c r="D68" t="str">
        <f t="shared" ref="D68:D99" si="47">B68&amp;"-"&amp;C68</f>
        <v>32B-Private</v>
      </c>
      <c r="E68" t="s">
        <v>650</v>
      </c>
      <c r="F68">
        <v>5</v>
      </c>
      <c r="G68">
        <f t="shared" ref="G68:G99" si="48">COUNTIF(F:F,F68)</f>
        <v>15</v>
      </c>
      <c r="H68" s="248" t="s">
        <v>423</v>
      </c>
      <c r="I68" s="248" t="s">
        <v>427</v>
      </c>
      <c r="J68" s="248" t="s">
        <v>586</v>
      </c>
      <c r="K68" s="61">
        <f t="shared" ref="K68:K104" si="49">AJ68*0.015</f>
        <v>0.60788344223792934</v>
      </c>
      <c r="L68" s="60">
        <f>IF(I68="Mechanical",(('Mob-Mech'!$E$47+'Demob-Mech'!$E$42)/G68),(('Mob-Hyd'!$E$47+'Demob-Hyd'!$E$42)/G68))</f>
        <v>44972.662143807996</v>
      </c>
      <c r="M68" s="56">
        <f t="shared" ref="M68:M104" si="50">IF(AX68&lt;0,AX68,(AVERAGE(AX$4:AX$106)))</f>
        <v>-4.5985714285714296</v>
      </c>
      <c r="N68" s="56">
        <f t="shared" ref="N68:N99" si="51">M68*-1</f>
        <v>4.5985714285714296</v>
      </c>
      <c r="O68" t="str">
        <f t="shared" ref="O68:O104" si="52">IF(M68=AX68,"Actual","Averaged")</f>
        <v>Averaged</v>
      </c>
      <c r="P68" s="58">
        <f t="shared" ref="P68:P99" si="53">IF(O68="Actual",((ABS(((AP68+(AP68+(6*N68)))/2)*AX68*AM68))/27),((ABS(((AP68+(AP68+(6*N68)))/2)*N68*AM68))/27))</f>
        <v>10170.130497959186</v>
      </c>
      <c r="Q68" s="249">
        <v>1.1000000000000001</v>
      </c>
      <c r="R68" s="58">
        <f t="shared" ref="R68:R99" si="54">P68*Q68</f>
        <v>11187.143547755106</v>
      </c>
      <c r="S68" s="58">
        <f>R68*'PrismQC Vols'!$G$14</f>
        <v>755.30105955282374</v>
      </c>
      <c r="T68" s="282">
        <f>IF(I68="Mechanical",S68/Prod!$D$21,S68/Prod!$D$11)</f>
        <v>1.150934947890017</v>
      </c>
      <c r="U68" s="61">
        <f>IF(I68="Hydraulic",(T68*('DR-Hyd'!$O$13+'DR-Hyd'!$O$18+'DR-Hyd'!$O$24)/S68),(T68*('DR-Mech'!$O$13+'DR-Mech'!$O$18+'DR-Mech'!$O$24)/S68))</f>
        <v>15.253427281310476</v>
      </c>
      <c r="V68" s="61">
        <f>IF(I68="Hydraulic",(T68*'DR-Hyd'!$O$34)/S68,(T68*'DR-Mech'!$O$34)/S68)+5</f>
        <v>19.221610773333332</v>
      </c>
      <c r="W68" s="61">
        <f>IF(I68="Hydraulic",(Overhead!$F$39/S68)+((Overhead!$D$39/Table!G67)/S68),(Overhead!$K$39/S68)+((Overhead!I101/Table!G67)/S68))</f>
        <v>2.2582606565870664</v>
      </c>
      <c r="X68" s="61">
        <f t="shared" ref="X68:X104" si="55">IF(J68="pipeline",2,1)</f>
        <v>1</v>
      </c>
      <c r="Y68" s="61">
        <f>IF(H68="Upland",0,(IF(I68="Mechanical",(T68*'DR-Mech'!$O$24+'DR-Mech'!$O$34)/S68,(T68*'DR-Hyd'!$O$24+'DR-Hyd'!$O$34)/S68)))</f>
        <v>0</v>
      </c>
      <c r="Z68" s="301">
        <f t="shared" ref="Z68:Z99" si="56">SUM(U68:Y68)</f>
        <v>37.733298711230873</v>
      </c>
      <c r="AA68" s="301">
        <f t="shared" ref="AA68:AA99" si="57">Z68*1.15</f>
        <v>43.393293517915502</v>
      </c>
      <c r="AB68" s="302" t="str">
        <f t="shared" ref="AB68:AB104" si="58">BG68</f>
        <v>High</v>
      </c>
      <c r="AC68" s="303">
        <f t="shared" ref="AC68:AC99" si="59">IF(AB68="high",(AP68*AM68*0.05)/43560,(AP68*AM68*0.025)/43560)</f>
        <v>5.3719008264462811E-2</v>
      </c>
      <c r="AD68" s="404">
        <f t="shared" ref="AD68:AD99" si="60">AC68*(275000/2.47105)</f>
        <v>5978.3198529885167</v>
      </c>
      <c r="AE68" s="61">
        <f t="shared" ref="AE68:AE104" si="61">Z68*0.02</f>
        <v>0.75466597422461745</v>
      </c>
      <c r="AF68" s="61">
        <f t="shared" ref="AF68:AF104" si="62">Z68*0.024</f>
        <v>0.90559916906954097</v>
      </c>
      <c r="AG68" s="61">
        <f t="shared" ref="AG68:AG104" si="63">Z68*0.03</f>
        <v>1.1319989613369261</v>
      </c>
      <c r="AH68" s="301">
        <f t="shared" ref="AH68:AH99" si="64">SUM(AE68:AG68)</f>
        <v>2.7922641046310845</v>
      </c>
      <c r="AI68" s="301">
        <f t="shared" ref="AI68:AI99" si="65">AH68*1.15</f>
        <v>3.2111037203257471</v>
      </c>
      <c r="AJ68" s="310">
        <f t="shared" ref="AJ68:AJ104" si="66">Z68+AH68</f>
        <v>40.52556281586196</v>
      </c>
      <c r="AK68" s="311">
        <f t="shared" ref="AK68:AK99" si="67">AJ68*1.15</f>
        <v>46.604397238241248</v>
      </c>
      <c r="AL68" s="41"/>
      <c r="AM68" s="29">
        <v>936</v>
      </c>
      <c r="AN68" s="29"/>
      <c r="AO68" s="30">
        <v>100</v>
      </c>
      <c r="AP68" s="30">
        <f t="shared" si="46"/>
        <v>50</v>
      </c>
      <c r="AQ68" s="31"/>
      <c r="AR68" s="31"/>
      <c r="AS68" s="28"/>
      <c r="AT68" s="30"/>
      <c r="AU68" s="28"/>
      <c r="AV68" s="30"/>
      <c r="AW68" s="30"/>
      <c r="AX68" s="30"/>
      <c r="AY68" s="30"/>
      <c r="AZ68" s="30"/>
      <c r="BA68" s="31"/>
      <c r="BB68" s="31" t="s">
        <v>218</v>
      </c>
      <c r="BC68" s="31" t="s">
        <v>10</v>
      </c>
      <c r="BD68" s="31" t="s">
        <v>19</v>
      </c>
      <c r="BE68" s="31" t="s">
        <v>27</v>
      </c>
      <c r="BF68" s="28" t="s">
        <v>219</v>
      </c>
      <c r="BG68" s="28" t="s">
        <v>28</v>
      </c>
      <c r="BH68" s="31"/>
      <c r="BI68" s="28"/>
      <c r="BJ68" s="28"/>
      <c r="BK68" s="32" t="s">
        <v>61</v>
      </c>
      <c r="BL68" s="49" t="s">
        <v>370</v>
      </c>
      <c r="BM68" s="49">
        <v>5</v>
      </c>
      <c r="BN68" s="49">
        <v>1</v>
      </c>
      <c r="BO68" s="49" t="s">
        <v>374</v>
      </c>
      <c r="BP68" s="49" t="s">
        <v>372</v>
      </c>
      <c r="BQ68" s="49" t="s">
        <v>391</v>
      </c>
      <c r="BR68" s="49" t="s">
        <v>219</v>
      </c>
      <c r="BS68" s="49"/>
      <c r="BT68" s="27"/>
      <c r="BU68" s="27"/>
      <c r="BV68" s="27"/>
      <c r="BW68" s="27"/>
      <c r="BX68" s="27"/>
    </row>
    <row r="69" spans="1:76" s="38" customFormat="1" ht="50.45" hidden="1" customHeight="1" x14ac:dyDescent="0.25">
      <c r="A69" s="46" t="s">
        <v>397</v>
      </c>
      <c r="B69" s="473" t="s">
        <v>315</v>
      </c>
      <c r="C69" t="s">
        <v>378</v>
      </c>
      <c r="D69" t="str">
        <f t="shared" si="47"/>
        <v>32P-Access</v>
      </c>
      <c r="E69" t="s">
        <v>651</v>
      </c>
      <c r="F69">
        <v>5</v>
      </c>
      <c r="G69">
        <f t="shared" si="48"/>
        <v>15</v>
      </c>
      <c r="H69" s="248" t="s">
        <v>423</v>
      </c>
      <c r="I69" s="248" t="s">
        <v>427</v>
      </c>
      <c r="J69" s="248" t="s">
        <v>586</v>
      </c>
      <c r="K69" s="61">
        <f t="shared" si="49"/>
        <v>0.57949588975122523</v>
      </c>
      <c r="L69" s="60">
        <f>IF(I69="Mechanical",(('Mob-Mech'!$E$47+'Demob-Mech'!$E$42)/G69),(('Mob-Hyd'!$E$47+'Demob-Hyd'!$E$42)/G69))</f>
        <v>44972.662143807996</v>
      </c>
      <c r="M69" s="56">
        <f t="shared" si="50"/>
        <v>-4.5985714285714296</v>
      </c>
      <c r="N69" s="56">
        <f t="shared" si="51"/>
        <v>4.5985714285714296</v>
      </c>
      <c r="O69" t="str">
        <f t="shared" si="52"/>
        <v>Averaged</v>
      </c>
      <c r="P69" s="58">
        <f t="shared" si="53"/>
        <v>46289.753823582781</v>
      </c>
      <c r="Q69" s="249">
        <v>1.1000000000000001</v>
      </c>
      <c r="R69" s="58">
        <f t="shared" si="54"/>
        <v>50918.729205941061</v>
      </c>
      <c r="S69" s="58">
        <f>R69*'PrismQC Vols'!$G$14</f>
        <v>3437.7828402897408</v>
      </c>
      <c r="T69" s="282">
        <f>IF(I69="Mechanical",S69/Prod!$D$21,S69/Prod!$D$11)</f>
        <v>5.238526232822462</v>
      </c>
      <c r="U69" s="61">
        <f>IF(I69="Hydraulic",(T69*('DR-Hyd'!$O$13+'DR-Hyd'!$O$18+'DR-Hyd'!$O$24)/S69),(T69*('DR-Mech'!$O$13+'DR-Mech'!$O$18+'DR-Mech'!$O$24)/S69))</f>
        <v>15.253427281310477</v>
      </c>
      <c r="V69" s="61">
        <f>IF(I69="Hydraulic",(T69*'DR-Hyd'!$O$34)/S69,(T69*'DR-Mech'!$O$34)/S69)+5</f>
        <v>19.221610773333335</v>
      </c>
      <c r="W69" s="61">
        <f>IF(I69="Hydraulic",(Overhead!$F$39/S69)+((Overhead!$D$39/Table!G70)/S69),(Overhead!$K$39/S69)+((Overhead!I104/Table!G70)/S69))</f>
        <v>0.4961531155129365</v>
      </c>
      <c r="X69" s="61">
        <f t="shared" si="55"/>
        <v>1</v>
      </c>
      <c r="Y69" s="61">
        <f>IF(H69="Upland",0,(IF(I69="Mechanical",(T69*'DR-Mech'!$O$24+'DR-Mech'!$O$34)/S69,(T69*'DR-Hyd'!$O$24+'DR-Hyd'!$O$34)/S69)))</f>
        <v>0</v>
      </c>
      <c r="Z69" s="301">
        <f t="shared" si="56"/>
        <v>35.97119117015675</v>
      </c>
      <c r="AA69" s="301">
        <f t="shared" si="57"/>
        <v>41.366869845680263</v>
      </c>
      <c r="AB69" s="302" t="str">
        <f t="shared" si="58"/>
        <v>High</v>
      </c>
      <c r="AC69" s="303">
        <f t="shared" si="59"/>
        <v>0.18461891643709827</v>
      </c>
      <c r="AD69" s="404">
        <f t="shared" si="60"/>
        <v>20546.003528946003</v>
      </c>
      <c r="AE69" s="61">
        <f t="shared" si="61"/>
        <v>0.71942382340313504</v>
      </c>
      <c r="AF69" s="61">
        <f t="shared" si="62"/>
        <v>0.86330858808376199</v>
      </c>
      <c r="AG69" s="61">
        <f t="shared" si="63"/>
        <v>1.0791357351047024</v>
      </c>
      <c r="AH69" s="301">
        <f t="shared" si="64"/>
        <v>2.6618681465915994</v>
      </c>
      <c r="AI69" s="301">
        <f t="shared" si="65"/>
        <v>3.0611483685803389</v>
      </c>
      <c r="AJ69" s="310">
        <f t="shared" si="66"/>
        <v>38.633059316748351</v>
      </c>
      <c r="AK69" s="311">
        <f t="shared" si="67"/>
        <v>44.428018214260604</v>
      </c>
      <c r="AL69" s="48"/>
      <c r="AM69" s="30">
        <v>8042</v>
      </c>
      <c r="AN69" s="30"/>
      <c r="AO69" s="30">
        <v>40</v>
      </c>
      <c r="AP69" s="30">
        <f t="shared" si="46"/>
        <v>20</v>
      </c>
      <c r="AQ69" s="28"/>
      <c r="AR69" s="28"/>
      <c r="AS69" s="28"/>
      <c r="AT69" s="30"/>
      <c r="AU69" s="28"/>
      <c r="AV69" s="30"/>
      <c r="AW69" s="30"/>
      <c r="AX69" s="30"/>
      <c r="AY69" s="30"/>
      <c r="AZ69" s="30"/>
      <c r="BA69" s="31" t="s">
        <v>227</v>
      </c>
      <c r="BB69" s="31"/>
      <c r="BC69" s="31" t="s">
        <v>196</v>
      </c>
      <c r="BD69" s="31" t="s">
        <v>316</v>
      </c>
      <c r="BE69" s="31" t="s">
        <v>317</v>
      </c>
      <c r="BF69" s="28" t="s">
        <v>318</v>
      </c>
      <c r="BG69" s="28" t="s">
        <v>28</v>
      </c>
      <c r="BH69" s="31" t="s">
        <v>319</v>
      </c>
      <c r="BI69" s="28" t="s">
        <v>169</v>
      </c>
      <c r="BJ69" s="28"/>
      <c r="BK69" s="32" t="s">
        <v>61</v>
      </c>
      <c r="BL69" s="49" t="s">
        <v>375</v>
      </c>
      <c r="BM69" s="49">
        <v>5</v>
      </c>
      <c r="BN69" s="49">
        <v>1</v>
      </c>
      <c r="BO69" s="49" t="s">
        <v>371</v>
      </c>
      <c r="BP69" s="49" t="s">
        <v>375</v>
      </c>
      <c r="BQ69" s="49" t="s">
        <v>373</v>
      </c>
      <c r="BR69" s="49" t="s">
        <v>392</v>
      </c>
      <c r="BS69" s="49"/>
      <c r="BT69" s="27"/>
      <c r="BU69" s="27"/>
      <c r="BV69" s="27"/>
      <c r="BW69" s="27"/>
      <c r="BX69" s="27"/>
    </row>
    <row r="70" spans="1:76" s="27" customFormat="1" ht="45" hidden="1" x14ac:dyDescent="0.25">
      <c r="A70" s="46" t="s">
        <v>397</v>
      </c>
      <c r="B70" s="473" t="s">
        <v>315</v>
      </c>
      <c r="C70" t="s">
        <v>370</v>
      </c>
      <c r="D70" t="str">
        <f t="shared" si="47"/>
        <v>32P-Private</v>
      </c>
      <c r="E70" t="s">
        <v>650</v>
      </c>
      <c r="F70">
        <v>5</v>
      </c>
      <c r="G70">
        <f t="shared" si="48"/>
        <v>15</v>
      </c>
      <c r="H70" s="248" t="s">
        <v>423</v>
      </c>
      <c r="I70" s="248" t="s">
        <v>427</v>
      </c>
      <c r="J70" s="248" t="s">
        <v>586</v>
      </c>
      <c r="K70" s="61">
        <f t="shared" si="49"/>
        <v>0.5850212480547019</v>
      </c>
      <c r="L70" s="60">
        <f>IF(I70="Mechanical",(('Mob-Mech'!$E$47+'Demob-Mech'!$E$42)/G70),(('Mob-Hyd'!$E$47+'Demob-Hyd'!$E$42)/G70))</f>
        <v>44972.662143807996</v>
      </c>
      <c r="M70" s="56">
        <f t="shared" si="50"/>
        <v>-4.5985714285714296</v>
      </c>
      <c r="N70" s="56">
        <f t="shared" si="51"/>
        <v>4.5985714285714296</v>
      </c>
      <c r="O70" t="str">
        <f t="shared" si="52"/>
        <v>Averaged</v>
      </c>
      <c r="P70" s="58">
        <f t="shared" si="53"/>
        <v>27369.781078231306</v>
      </c>
      <c r="Q70" s="249">
        <v>1.1000000000000001</v>
      </c>
      <c r="R70" s="58">
        <f t="shared" si="54"/>
        <v>30106.759186054438</v>
      </c>
      <c r="S70" s="58">
        <f>R70*'PrismQC Vols'!$G$14</f>
        <v>2032.6607069855409</v>
      </c>
      <c r="T70" s="282">
        <f>IF(I70="Mechanical",S70/Prod!$D$21,S70/Prod!$D$11)</f>
        <v>3.0973877439779671</v>
      </c>
      <c r="U70" s="61">
        <f>IF(I70="Hydraulic",(T70*('DR-Hyd'!$O$13+'DR-Hyd'!$O$18+'DR-Hyd'!$O$24)/S70),(T70*('DR-Mech'!$O$13+'DR-Mech'!$O$18+'DR-Mech'!$O$24)/S70))</f>
        <v>15.253427281310477</v>
      </c>
      <c r="V70" s="61">
        <f>IF(I70="Hydraulic",(T70*'DR-Hyd'!$O$34)/S70,(T70*'DR-Mech'!$O$34)/S70)+5</f>
        <v>19.221610773333335</v>
      </c>
      <c r="W70" s="61">
        <f>IF(I70="Hydraulic",(Overhead!$F$39/S70)+((Overhead!$D$39/Table!G69)/S70),(Overhead!$K$39/S70)+((Overhead!I103/Table!G69)/S70))</f>
        <v>0.83913004310305672</v>
      </c>
      <c r="X70" s="61">
        <f t="shared" si="55"/>
        <v>1</v>
      </c>
      <c r="Y70" s="61">
        <f>IF(H70="Upland",0,(IF(I70="Mechanical",(T70*'DR-Mech'!$O$24+'DR-Mech'!$O$34)/S70,(T70*'DR-Hyd'!$O$24+'DR-Hyd'!$O$34)/S70)))</f>
        <v>0</v>
      </c>
      <c r="Z70" s="301">
        <f t="shared" si="56"/>
        <v>36.314168097746865</v>
      </c>
      <c r="AA70" s="301">
        <f t="shared" si="57"/>
        <v>41.761293312408888</v>
      </c>
      <c r="AB70" s="302" t="str">
        <f t="shared" si="58"/>
        <v>High</v>
      </c>
      <c r="AC70" s="303">
        <f t="shared" si="59"/>
        <v>0.10915977961432508</v>
      </c>
      <c r="AD70" s="404">
        <f t="shared" si="60"/>
        <v>12148.252521777948</v>
      </c>
      <c r="AE70" s="61">
        <f t="shared" si="61"/>
        <v>0.72628336195493737</v>
      </c>
      <c r="AF70" s="61">
        <f t="shared" si="62"/>
        <v>0.87154003434592475</v>
      </c>
      <c r="AG70" s="61">
        <f t="shared" si="63"/>
        <v>1.0894250429324059</v>
      </c>
      <c r="AH70" s="301">
        <f t="shared" si="64"/>
        <v>2.6872484392332678</v>
      </c>
      <c r="AI70" s="301">
        <f t="shared" si="65"/>
        <v>3.0903357051182576</v>
      </c>
      <c r="AJ70" s="310">
        <f t="shared" si="66"/>
        <v>39.00141653698013</v>
      </c>
      <c r="AK70" s="311">
        <f t="shared" si="67"/>
        <v>44.851629017527145</v>
      </c>
      <c r="AL70" s="41"/>
      <c r="AM70" s="29">
        <v>4755</v>
      </c>
      <c r="AN70" s="29"/>
      <c r="AO70" s="30">
        <v>40</v>
      </c>
      <c r="AP70" s="30">
        <f t="shared" si="46"/>
        <v>20</v>
      </c>
      <c r="AQ70" s="28"/>
      <c r="AR70" s="28"/>
      <c r="AS70" s="28"/>
      <c r="AT70" s="30"/>
      <c r="AU70" s="28"/>
      <c r="AV70" s="30"/>
      <c r="AW70" s="30"/>
      <c r="AX70" s="30"/>
      <c r="AY70" s="30"/>
      <c r="AZ70" s="30"/>
      <c r="BA70" s="31" t="s">
        <v>227</v>
      </c>
      <c r="BB70" s="31"/>
      <c r="BC70" s="31" t="s">
        <v>196</v>
      </c>
      <c r="BD70" s="31" t="s">
        <v>316</v>
      </c>
      <c r="BE70" s="31" t="s">
        <v>317</v>
      </c>
      <c r="BF70" s="28" t="s">
        <v>318</v>
      </c>
      <c r="BG70" s="28" t="s">
        <v>28</v>
      </c>
      <c r="BH70" s="31" t="s">
        <v>319</v>
      </c>
      <c r="BI70" s="28" t="s">
        <v>169</v>
      </c>
      <c r="BJ70" s="28"/>
      <c r="BK70" s="32" t="s">
        <v>61</v>
      </c>
      <c r="BL70" s="49" t="s">
        <v>370</v>
      </c>
      <c r="BM70" s="49">
        <v>5</v>
      </c>
      <c r="BN70" s="49">
        <v>1</v>
      </c>
      <c r="BO70" s="49" t="s">
        <v>371</v>
      </c>
      <c r="BP70" s="49" t="s">
        <v>372</v>
      </c>
      <c r="BQ70" s="49" t="s">
        <v>370</v>
      </c>
      <c r="BR70" s="49" t="s">
        <v>392</v>
      </c>
      <c r="BS70" s="49"/>
    </row>
    <row r="71" spans="1:76" s="27" customFormat="1" ht="45" hidden="1" x14ac:dyDescent="0.25">
      <c r="A71" s="46" t="s">
        <v>397</v>
      </c>
      <c r="B71" s="473" t="s">
        <v>87</v>
      </c>
      <c r="C71" t="s">
        <v>378</v>
      </c>
      <c r="D71" t="str">
        <f t="shared" si="47"/>
        <v>33-Access</v>
      </c>
      <c r="E71" t="s">
        <v>651</v>
      </c>
      <c r="F71">
        <v>5</v>
      </c>
      <c r="G71">
        <f t="shared" si="48"/>
        <v>15</v>
      </c>
      <c r="H71" s="248" t="s">
        <v>423</v>
      </c>
      <c r="I71" s="248" t="s">
        <v>427</v>
      </c>
      <c r="J71" s="248" t="s">
        <v>586</v>
      </c>
      <c r="K71" s="61">
        <f t="shared" si="49"/>
        <v>0.69717643548617925</v>
      </c>
      <c r="L71" s="60">
        <f>IF(I71="Mechanical",(('Mob-Mech'!$E$47+'Demob-Mech'!$E$42)/G71),(('Mob-Hyd'!$E$47+'Demob-Hyd'!$E$42)/G71))</f>
        <v>44972.662143807996</v>
      </c>
      <c r="M71" s="56">
        <f t="shared" si="50"/>
        <v>-4.5985714285714296</v>
      </c>
      <c r="N71" s="56">
        <f t="shared" si="51"/>
        <v>4.5985714285714296</v>
      </c>
      <c r="O71" t="str">
        <f t="shared" si="52"/>
        <v>Averaged</v>
      </c>
      <c r="P71" s="58">
        <f t="shared" si="53"/>
        <v>2944.097400000001</v>
      </c>
      <c r="Q71" s="249">
        <v>1.1000000000000001</v>
      </c>
      <c r="R71" s="58">
        <f t="shared" si="54"/>
        <v>3238.5071400000015</v>
      </c>
      <c r="S71" s="58">
        <f>R71*'PrismQC Vols'!$G$14</f>
        <v>218.64811725797759</v>
      </c>
      <c r="T71" s="282">
        <f>IF(I71="Mechanical",S71/Prod!$D$21,S71/Prod!$D$11)</f>
        <v>0.33317808344072775</v>
      </c>
      <c r="U71" s="61">
        <f>IF(I71="Hydraulic",(T71*('DR-Hyd'!$O$13+'DR-Hyd'!$O$18+'DR-Hyd'!$O$24)/S71),(T71*('DR-Mech'!$O$13+'DR-Mech'!$O$18+'DR-Mech'!$O$24)/S71))</f>
        <v>15.253427281310477</v>
      </c>
      <c r="V71" s="61">
        <f>IF(I71="Hydraulic",(T71*'DR-Hyd'!$O$34)/S71,(T71*'DR-Mech'!$O$34)/S71)+5</f>
        <v>19.221610773333332</v>
      </c>
      <c r="W71" s="61">
        <f>IF(I71="Hydraulic",(Overhead!$F$39/S71)+((Overhead!$D$39/Table!G73)/S71),(Overhead!$K$39/S71)+((Overhead!I107/Table!G73)/S71))</f>
        <v>7.8009666310283947</v>
      </c>
      <c r="X71" s="61">
        <f t="shared" si="55"/>
        <v>1</v>
      </c>
      <c r="Y71" s="61">
        <f>IF(H71="Upland",0,(IF(I71="Mechanical",(T71*'DR-Mech'!$O$24+'DR-Mech'!$O$34)/S71,(T71*'DR-Hyd'!$O$24+'DR-Hyd'!$O$34)/S71)))</f>
        <v>0</v>
      </c>
      <c r="Z71" s="301">
        <f t="shared" si="56"/>
        <v>43.276004685672206</v>
      </c>
      <c r="AA71" s="301">
        <f t="shared" si="57"/>
        <v>49.767405388523031</v>
      </c>
      <c r="AB71" s="302" t="str">
        <f t="shared" si="58"/>
        <v>High</v>
      </c>
      <c r="AC71" s="303">
        <f t="shared" si="59"/>
        <v>1.518595041322314E-2</v>
      </c>
      <c r="AD71" s="404">
        <f t="shared" si="60"/>
        <v>1690.0250353640613</v>
      </c>
      <c r="AE71" s="61">
        <f t="shared" si="61"/>
        <v>0.86552009371344418</v>
      </c>
      <c r="AF71" s="61">
        <f t="shared" si="62"/>
        <v>1.0386241124561331</v>
      </c>
      <c r="AG71" s="61">
        <f t="shared" si="63"/>
        <v>1.2982801405701661</v>
      </c>
      <c r="AH71" s="301">
        <f t="shared" si="64"/>
        <v>3.2024243467397433</v>
      </c>
      <c r="AI71" s="301">
        <f t="shared" si="65"/>
        <v>3.6827879987507046</v>
      </c>
      <c r="AJ71" s="310">
        <f t="shared" si="66"/>
        <v>46.478429032411952</v>
      </c>
      <c r="AK71" s="311">
        <f t="shared" si="67"/>
        <v>53.450193387273742</v>
      </c>
      <c r="AL71" s="41" t="s">
        <v>87</v>
      </c>
      <c r="AM71" s="29">
        <v>294</v>
      </c>
      <c r="AN71" s="29"/>
      <c r="AO71" s="30">
        <v>90</v>
      </c>
      <c r="AP71" s="30">
        <f t="shared" si="46"/>
        <v>45</v>
      </c>
      <c r="AQ71" s="31" t="s">
        <v>88</v>
      </c>
      <c r="AR71" s="31" t="s">
        <v>89</v>
      </c>
      <c r="AS71" s="28" t="s">
        <v>8</v>
      </c>
      <c r="AT71" s="30">
        <v>-5.4</v>
      </c>
      <c r="AU71" s="28"/>
      <c r="AV71" s="30"/>
      <c r="AW71" s="30"/>
      <c r="AX71" s="30"/>
      <c r="AY71" s="30"/>
      <c r="AZ71" s="30"/>
      <c r="BA71" s="31"/>
      <c r="BB71" s="31" t="s">
        <v>90</v>
      </c>
      <c r="BC71" s="31" t="s">
        <v>91</v>
      </c>
      <c r="BD71" s="31" t="s">
        <v>92</v>
      </c>
      <c r="BE71" s="31" t="s">
        <v>93</v>
      </c>
      <c r="BF71" s="28"/>
      <c r="BG71" s="28" t="s">
        <v>28</v>
      </c>
      <c r="BH71" s="31"/>
      <c r="BI71" s="28"/>
      <c r="BJ71" s="28" t="s">
        <v>90</v>
      </c>
      <c r="BK71" s="32" t="s">
        <v>61</v>
      </c>
      <c r="BL71" t="s">
        <v>378</v>
      </c>
      <c r="BM71">
        <v>5</v>
      </c>
      <c r="BN71">
        <v>1</v>
      </c>
      <c r="BO71" t="s">
        <v>374</v>
      </c>
      <c r="BP71" t="s">
        <v>372</v>
      </c>
      <c r="BQ71" t="s">
        <v>373</v>
      </c>
      <c r="BR71" t="s">
        <v>219</v>
      </c>
      <c r="BS71"/>
      <c r="BT71" s="22"/>
      <c r="BU71" s="22"/>
      <c r="BV71" s="22"/>
      <c r="BW71" s="22"/>
      <c r="BX71" s="22"/>
    </row>
    <row r="72" spans="1:76" s="27" customFormat="1" ht="45" hidden="1" x14ac:dyDescent="0.25">
      <c r="A72" s="46" t="s">
        <v>397</v>
      </c>
      <c r="B72" s="473" t="s">
        <v>87</v>
      </c>
      <c r="C72" t="s">
        <v>655</v>
      </c>
      <c r="D72" t="str">
        <f t="shared" si="47"/>
        <v>33-Access.1</v>
      </c>
      <c r="E72" t="s">
        <v>651</v>
      </c>
      <c r="F72">
        <v>5</v>
      </c>
      <c r="G72">
        <f t="shared" si="48"/>
        <v>15</v>
      </c>
      <c r="H72" s="248" t="s">
        <v>423</v>
      </c>
      <c r="I72" s="248" t="s">
        <v>427</v>
      </c>
      <c r="J72" s="248" t="s">
        <v>586</v>
      </c>
      <c r="K72" s="61">
        <f t="shared" si="49"/>
        <v>0.62505073305046399</v>
      </c>
      <c r="L72" s="60">
        <f>IF(I72="Mechanical",(('Mob-Mech'!$E$47+'Demob-Mech'!$E$42)/G72),(('Mob-Hyd'!$E$47+'Demob-Hyd'!$E$42)/G72))</f>
        <v>44972.662143807996</v>
      </c>
      <c r="M72" s="56">
        <f t="shared" si="50"/>
        <v>-4.5985714285714296</v>
      </c>
      <c r="N72" s="56">
        <f t="shared" si="51"/>
        <v>4.5985714285714296</v>
      </c>
      <c r="O72" t="str">
        <f t="shared" si="52"/>
        <v>Averaged</v>
      </c>
      <c r="P72" s="58">
        <f t="shared" si="53"/>
        <v>6909.6163469387766</v>
      </c>
      <c r="Q72" s="249">
        <v>1.1000000000000001</v>
      </c>
      <c r="R72" s="58">
        <f t="shared" si="54"/>
        <v>7600.5779816326549</v>
      </c>
      <c r="S72" s="58">
        <f>R72*'PrismQC Vols'!$G$14</f>
        <v>513.15374458504937</v>
      </c>
      <c r="T72" s="282">
        <f>IF(I72="Mechanical",S72/Prod!$D$21,S72/Prod!$D$11)</f>
        <v>0.78194856317721806</v>
      </c>
      <c r="U72" s="61">
        <f>IF(I72="Hydraulic",(T72*('DR-Hyd'!$O$13+'DR-Hyd'!$O$18+'DR-Hyd'!$O$24)/S72),(T72*('DR-Mech'!$O$13+'DR-Mech'!$O$18+'DR-Mech'!$O$24)/S72))</f>
        <v>15.253427281310476</v>
      </c>
      <c r="V72" s="61">
        <f>IF(I72="Hydraulic",(T72*'DR-Hyd'!$O$34)/S72,(T72*'DR-Mech'!$O$34)/S72)+5</f>
        <v>19.221610773333335</v>
      </c>
      <c r="W72" s="61">
        <f>IF(I72="Hydraulic",(Overhead!$F$39/S72)+((Overhead!$D$39/Table!G71)/S72),(Overhead!$K$39/S72)+((Overhead!I105/Table!G71)/S72))</f>
        <v>3.3238901297425336</v>
      </c>
      <c r="X72" s="61">
        <f t="shared" si="55"/>
        <v>1</v>
      </c>
      <c r="Y72" s="61">
        <f>IF(H72="Upland",0,(IF(I72="Mechanical",(T72*'DR-Mech'!$O$24+'DR-Mech'!$O$34)/S72,(T72*'DR-Hyd'!$O$24+'DR-Hyd'!$O$34)/S72)))</f>
        <v>0</v>
      </c>
      <c r="Z72" s="301">
        <f t="shared" si="56"/>
        <v>38.798928184386341</v>
      </c>
      <c r="AA72" s="301">
        <f t="shared" si="57"/>
        <v>44.618767412044292</v>
      </c>
      <c r="AB72" s="302" t="str">
        <f t="shared" si="58"/>
        <v>High</v>
      </c>
      <c r="AC72" s="303">
        <f t="shared" si="59"/>
        <v>3.5640495867768594E-2</v>
      </c>
      <c r="AD72" s="404">
        <f t="shared" si="60"/>
        <v>3966.3852870789192</v>
      </c>
      <c r="AE72" s="61">
        <f t="shared" si="61"/>
        <v>0.77597856368772689</v>
      </c>
      <c r="AF72" s="61">
        <f t="shared" si="62"/>
        <v>0.93117427642527217</v>
      </c>
      <c r="AG72" s="61">
        <f t="shared" si="63"/>
        <v>1.1639678455315903</v>
      </c>
      <c r="AH72" s="301">
        <f t="shared" si="64"/>
        <v>2.8711206856445894</v>
      </c>
      <c r="AI72" s="301">
        <f t="shared" si="65"/>
        <v>3.3017887884912778</v>
      </c>
      <c r="AJ72" s="310">
        <f t="shared" si="66"/>
        <v>41.670048870030932</v>
      </c>
      <c r="AK72" s="311">
        <f t="shared" si="67"/>
        <v>47.920556200535572</v>
      </c>
      <c r="AL72" s="41" t="s">
        <v>87</v>
      </c>
      <c r="AM72" s="29">
        <v>690</v>
      </c>
      <c r="AN72" s="29"/>
      <c r="AO72" s="30">
        <v>90</v>
      </c>
      <c r="AP72" s="30">
        <f t="shared" si="46"/>
        <v>45</v>
      </c>
      <c r="AQ72" s="31" t="s">
        <v>88</v>
      </c>
      <c r="AR72" s="31" t="s">
        <v>89</v>
      </c>
      <c r="AS72" s="28" t="s">
        <v>8</v>
      </c>
      <c r="AT72" s="30">
        <v>-5.4</v>
      </c>
      <c r="AU72" s="28"/>
      <c r="AV72" s="30"/>
      <c r="AW72" s="30"/>
      <c r="AX72" s="30"/>
      <c r="AY72" s="30"/>
      <c r="AZ72" s="30"/>
      <c r="BA72" s="31"/>
      <c r="BB72" s="31" t="s">
        <v>90</v>
      </c>
      <c r="BC72" s="31" t="s">
        <v>91</v>
      </c>
      <c r="BD72" s="31" t="s">
        <v>92</v>
      </c>
      <c r="BE72" s="31" t="s">
        <v>93</v>
      </c>
      <c r="BF72" s="28"/>
      <c r="BG72" s="28" t="s">
        <v>28</v>
      </c>
      <c r="BH72" s="31"/>
      <c r="BI72" s="28"/>
      <c r="BJ72" s="28" t="s">
        <v>90</v>
      </c>
      <c r="BK72" s="32" t="s">
        <v>61</v>
      </c>
      <c r="BL72" s="49" t="s">
        <v>375</v>
      </c>
      <c r="BM72" s="49">
        <v>5</v>
      </c>
      <c r="BN72" s="49">
        <v>1</v>
      </c>
      <c r="BO72" s="49" t="s">
        <v>374</v>
      </c>
      <c r="BP72" s="49" t="s">
        <v>372</v>
      </c>
      <c r="BQ72" s="49" t="s">
        <v>373</v>
      </c>
      <c r="BR72" s="49" t="s">
        <v>219</v>
      </c>
      <c r="BS72" s="49"/>
    </row>
    <row r="73" spans="1:76" s="27" customFormat="1" ht="45" hidden="1" x14ac:dyDescent="0.25">
      <c r="A73" s="46" t="s">
        <v>397</v>
      </c>
      <c r="B73" s="473" t="s">
        <v>87</v>
      </c>
      <c r="C73" t="s">
        <v>370</v>
      </c>
      <c r="D73" t="str">
        <f t="shared" si="47"/>
        <v>33-Private</v>
      </c>
      <c r="E73" t="s">
        <v>650</v>
      </c>
      <c r="F73">
        <v>5</v>
      </c>
      <c r="G73">
        <f t="shared" si="48"/>
        <v>15</v>
      </c>
      <c r="H73" s="248" t="s">
        <v>423</v>
      </c>
      <c r="I73" s="248" t="s">
        <v>427</v>
      </c>
      <c r="J73" s="248" t="s">
        <v>586</v>
      </c>
      <c r="K73" s="61">
        <f t="shared" si="49"/>
        <v>0.63024376972677443</v>
      </c>
      <c r="L73" s="60">
        <f>IF(I73="Mechanical",(('Mob-Mech'!$E$47+'Demob-Mech'!$E$42)/G73),(('Mob-Hyd'!$E$47+'Demob-Hyd'!$E$42)/G73))</f>
        <v>44972.662143807996</v>
      </c>
      <c r="M73" s="56">
        <f t="shared" si="50"/>
        <v>-4.5985714285714296</v>
      </c>
      <c r="N73" s="56">
        <f t="shared" si="51"/>
        <v>4.5985714285714296</v>
      </c>
      <c r="O73" t="str">
        <f t="shared" si="52"/>
        <v>Averaged</v>
      </c>
      <c r="P73" s="58">
        <f t="shared" si="53"/>
        <v>6298.766206122451</v>
      </c>
      <c r="Q73" s="249">
        <v>1.1000000000000001</v>
      </c>
      <c r="R73" s="58">
        <f t="shared" si="54"/>
        <v>6928.6428267346964</v>
      </c>
      <c r="S73" s="58">
        <f>R73*'PrismQC Vols'!$G$14</f>
        <v>467.78797875941461</v>
      </c>
      <c r="T73" s="282">
        <f>IF(I73="Mechanical",S73/Prod!$D$21,S73/Prod!$D$11)</f>
        <v>0.71281977715720324</v>
      </c>
      <c r="U73" s="61">
        <f>IF(I73="Hydraulic",(T73*('DR-Hyd'!$O$13+'DR-Hyd'!$O$18+'DR-Hyd'!$O$24)/S73),(T73*('DR-Mech'!$O$13+'DR-Mech'!$O$18+'DR-Mech'!$O$24)/S73))</f>
        <v>15.253427281310477</v>
      </c>
      <c r="V73" s="61">
        <f>IF(I73="Hydraulic",(T73*'DR-Hyd'!$O$34)/S73,(T73*'DR-Mech'!$O$34)/S73)+5</f>
        <v>19.221610773333332</v>
      </c>
      <c r="W73" s="61">
        <f>IF(I73="Hydraulic",(Overhead!$F$39/S73)+((Overhead!$D$39/Table!G72)/S73),(Overhead!$K$39/S73)+((Overhead!I106/Table!G72)/S73))</f>
        <v>3.6462387750752749</v>
      </c>
      <c r="X73" s="61">
        <f t="shared" si="55"/>
        <v>1</v>
      </c>
      <c r="Y73" s="61">
        <f>IF(H73="Upland",0,(IF(I73="Mechanical",(T73*'DR-Mech'!$O$24+'DR-Mech'!$O$34)/S73,(T73*'DR-Hyd'!$O$24+'DR-Hyd'!$O$34)/S73)))</f>
        <v>0</v>
      </c>
      <c r="Z73" s="301">
        <f t="shared" si="56"/>
        <v>39.121276829719086</v>
      </c>
      <c r="AA73" s="301">
        <f t="shared" si="57"/>
        <v>44.989468354176942</v>
      </c>
      <c r="AB73" s="302" t="str">
        <f t="shared" si="58"/>
        <v>High</v>
      </c>
      <c r="AC73" s="303">
        <f t="shared" si="59"/>
        <v>3.2489669421487601E-2</v>
      </c>
      <c r="AD73" s="404">
        <f t="shared" si="60"/>
        <v>3615.7338341632467</v>
      </c>
      <c r="AE73" s="61">
        <f t="shared" si="61"/>
        <v>0.78242553659438174</v>
      </c>
      <c r="AF73" s="61">
        <f t="shared" si="62"/>
        <v>0.93891064391325807</v>
      </c>
      <c r="AG73" s="61">
        <f t="shared" si="63"/>
        <v>1.1736383048915726</v>
      </c>
      <c r="AH73" s="301">
        <f t="shared" si="64"/>
        <v>2.8949744853992128</v>
      </c>
      <c r="AI73" s="301">
        <f t="shared" si="65"/>
        <v>3.3292206582090946</v>
      </c>
      <c r="AJ73" s="310">
        <f t="shared" si="66"/>
        <v>42.016251315118296</v>
      </c>
      <c r="AK73" s="311">
        <f t="shared" si="67"/>
        <v>48.318689012386038</v>
      </c>
      <c r="AL73" s="41" t="s">
        <v>87</v>
      </c>
      <c r="AM73" s="29">
        <v>629</v>
      </c>
      <c r="AN73" s="29"/>
      <c r="AO73" s="30">
        <v>90</v>
      </c>
      <c r="AP73" s="30">
        <f t="shared" si="46"/>
        <v>45</v>
      </c>
      <c r="AQ73" s="31" t="s">
        <v>88</v>
      </c>
      <c r="AR73" s="31" t="s">
        <v>89</v>
      </c>
      <c r="AS73" s="28" t="s">
        <v>8</v>
      </c>
      <c r="AT73" s="30">
        <v>-5.4</v>
      </c>
      <c r="AU73" s="28"/>
      <c r="AV73" s="30"/>
      <c r="AW73" s="30"/>
      <c r="AX73" s="30"/>
      <c r="AY73" s="30"/>
      <c r="AZ73" s="30"/>
      <c r="BA73" s="31"/>
      <c r="BB73" s="31" t="s">
        <v>90</v>
      </c>
      <c r="BC73" s="31" t="s">
        <v>91</v>
      </c>
      <c r="BD73" s="31" t="s">
        <v>92</v>
      </c>
      <c r="BE73" s="31" t="s">
        <v>93</v>
      </c>
      <c r="BF73" s="28"/>
      <c r="BG73" s="28" t="s">
        <v>28</v>
      </c>
      <c r="BH73" s="31"/>
      <c r="BI73" s="28"/>
      <c r="BJ73" s="28" t="s">
        <v>90</v>
      </c>
      <c r="BK73" s="32" t="s">
        <v>61</v>
      </c>
      <c r="BL73" s="49" t="s">
        <v>370</v>
      </c>
      <c r="BM73" s="49">
        <v>5</v>
      </c>
      <c r="BN73" s="49">
        <v>1</v>
      </c>
      <c r="BO73" s="49" t="s">
        <v>374</v>
      </c>
      <c r="BP73" s="49" t="s">
        <v>372</v>
      </c>
      <c r="BQ73" s="49" t="s">
        <v>373</v>
      </c>
      <c r="BR73" s="49" t="s">
        <v>219</v>
      </c>
      <c r="BS73" s="49"/>
    </row>
    <row r="74" spans="1:76" s="27" customFormat="1" ht="30" hidden="1" x14ac:dyDescent="0.25">
      <c r="A74" s="24"/>
      <c r="B74" s="1" t="s">
        <v>220</v>
      </c>
      <c r="C74" t="s">
        <v>378</v>
      </c>
      <c r="D74" t="str">
        <f t="shared" si="47"/>
        <v>33A-Access</v>
      </c>
      <c r="E74" t="s">
        <v>651</v>
      </c>
      <c r="F74">
        <v>5</v>
      </c>
      <c r="G74">
        <f t="shared" si="48"/>
        <v>15</v>
      </c>
      <c r="H74" s="248" t="s">
        <v>423</v>
      </c>
      <c r="I74" s="248" t="s">
        <v>427</v>
      </c>
      <c r="J74" s="248" t="s">
        <v>586</v>
      </c>
      <c r="K74" s="61">
        <f t="shared" si="49"/>
        <v>0.60366389452228342</v>
      </c>
      <c r="L74" s="60">
        <f>IF(I74="Mechanical",(('Mob-Mech'!$E$47+'Demob-Mech'!$E$42)/G74),(('Mob-Hyd'!$E$47+'Demob-Hyd'!$E$42)/G74))</f>
        <v>44972.662143807996</v>
      </c>
      <c r="M74" s="56">
        <f t="shared" si="50"/>
        <v>-4.5985714285714296</v>
      </c>
      <c r="N74" s="56">
        <f t="shared" si="51"/>
        <v>4.5985714285714296</v>
      </c>
      <c r="O74" t="str">
        <f t="shared" si="52"/>
        <v>Averaged</v>
      </c>
      <c r="P74" s="58">
        <f t="shared" si="53"/>
        <v>11504.458066439913</v>
      </c>
      <c r="Q74" s="249">
        <v>1.1000000000000001</v>
      </c>
      <c r="R74" s="58">
        <f t="shared" si="54"/>
        <v>12654.903873083906</v>
      </c>
      <c r="S74" s="58">
        <f>R74*'PrismQC Vols'!$G$14</f>
        <v>854.39703737398065</v>
      </c>
      <c r="T74" s="282">
        <f>IF(I74="Mechanical",S74/Prod!$D$21,S74/Prod!$D$11)</f>
        <v>1.3019383426651134</v>
      </c>
      <c r="U74" s="61">
        <f>IF(I74="Hydraulic",(T74*('DR-Hyd'!$O$13+'DR-Hyd'!$O$18+'DR-Hyd'!$O$24)/S74),(T74*('DR-Mech'!$O$13+'DR-Mech'!$O$18+'DR-Mech'!$O$24)/S74))</f>
        <v>15.253427281310477</v>
      </c>
      <c r="V74" s="61">
        <f>IF(I74="Hydraulic",(T74*'DR-Hyd'!$O$34)/S74,(T74*'DR-Mech'!$O$34)/S74)+5</f>
        <v>19.221610773333332</v>
      </c>
      <c r="W74" s="61">
        <f>IF(I74="Hydraulic",(Overhead!$F$39/S74)+((Overhead!$D$39/Table!G74)/S74),(Overhead!$K$39/S74)+((Overhead!I108/Table!G74)/S74))</f>
        <v>1.9963396314073059</v>
      </c>
      <c r="X74" s="61">
        <f t="shared" si="55"/>
        <v>1</v>
      </c>
      <c r="Y74" s="61">
        <f>IF(H74="Upland",0,(IF(I74="Mechanical",(T74*'DR-Mech'!$O$24+'DR-Mech'!$O$34)/S74,(T74*'DR-Hyd'!$O$24+'DR-Hyd'!$O$34)/S74)))</f>
        <v>0</v>
      </c>
      <c r="Z74" s="301">
        <f t="shared" si="56"/>
        <v>37.471377686051113</v>
      </c>
      <c r="AA74" s="301">
        <f t="shared" si="57"/>
        <v>43.092084338958777</v>
      </c>
      <c r="AB74" s="302" t="str">
        <f t="shared" si="58"/>
        <v>High</v>
      </c>
      <c r="AC74" s="303">
        <f t="shared" si="59"/>
        <v>5.6266643709825523E-2</v>
      </c>
      <c r="AD74" s="404">
        <f t="shared" si="60"/>
        <v>6261.8429494352677</v>
      </c>
      <c r="AE74" s="61">
        <f t="shared" si="61"/>
        <v>0.74942755372102232</v>
      </c>
      <c r="AF74" s="61">
        <f t="shared" si="62"/>
        <v>0.89931306446522674</v>
      </c>
      <c r="AG74" s="61">
        <f t="shared" si="63"/>
        <v>1.1241413305815333</v>
      </c>
      <c r="AH74" s="301">
        <f t="shared" si="64"/>
        <v>2.7728819487677825</v>
      </c>
      <c r="AI74" s="301">
        <f t="shared" si="65"/>
        <v>3.1888142410829494</v>
      </c>
      <c r="AJ74" s="310">
        <f t="shared" si="66"/>
        <v>40.244259634818896</v>
      </c>
      <c r="AK74" s="311">
        <f t="shared" si="67"/>
        <v>46.280898580041729</v>
      </c>
      <c r="AL74" s="42" t="s">
        <v>220</v>
      </c>
      <c r="AM74" s="14">
        <v>1343</v>
      </c>
      <c r="AN74" s="14"/>
      <c r="AO74" s="4">
        <v>73</v>
      </c>
      <c r="AP74" s="5">
        <f t="shared" si="46"/>
        <v>36.5</v>
      </c>
      <c r="AQ74" s="6"/>
      <c r="AR74" s="6"/>
      <c r="AS74" s="3"/>
      <c r="AT74" s="4"/>
      <c r="AU74" s="3"/>
      <c r="AV74" s="4"/>
      <c r="AW74" s="4"/>
      <c r="AX74" s="4"/>
      <c r="AY74" s="4"/>
      <c r="AZ74" s="4"/>
      <c r="BA74" s="6"/>
      <c r="BB74" s="6" t="s">
        <v>221</v>
      </c>
      <c r="BC74" s="6" t="s">
        <v>10</v>
      </c>
      <c r="BD74" s="6" t="s">
        <v>222</v>
      </c>
      <c r="BE74" s="6" t="s">
        <v>134</v>
      </c>
      <c r="BF74" s="3"/>
      <c r="BG74" s="3" t="s">
        <v>28</v>
      </c>
      <c r="BH74" s="6"/>
      <c r="BI74" s="3"/>
      <c r="BJ74" s="3"/>
      <c r="BK74" s="7" t="s">
        <v>61</v>
      </c>
      <c r="BL74" t="s">
        <v>378</v>
      </c>
      <c r="BM74">
        <v>5</v>
      </c>
      <c r="BN74">
        <v>1</v>
      </c>
      <c r="BO74" t="s">
        <v>371</v>
      </c>
      <c r="BP74" t="s">
        <v>373</v>
      </c>
      <c r="BQ74" t="s">
        <v>373</v>
      </c>
      <c r="BR74" t="s">
        <v>219</v>
      </c>
      <c r="BS74"/>
      <c r="BT74" s="1"/>
      <c r="BU74" s="1"/>
      <c r="BV74" s="1"/>
      <c r="BW74" s="1"/>
      <c r="BX74" s="1"/>
    </row>
    <row r="75" spans="1:76" s="27" customFormat="1" ht="45" hidden="1" x14ac:dyDescent="0.25">
      <c r="A75" s="46"/>
      <c r="B75" s="27" t="s">
        <v>393</v>
      </c>
      <c r="C75" t="s">
        <v>378</v>
      </c>
      <c r="D75" t="str">
        <f t="shared" si="47"/>
        <v>33B-Access</v>
      </c>
      <c r="E75" t="s">
        <v>651</v>
      </c>
      <c r="F75">
        <v>5</v>
      </c>
      <c r="G75">
        <f t="shared" si="48"/>
        <v>15</v>
      </c>
      <c r="H75" s="248" t="s">
        <v>423</v>
      </c>
      <c r="I75" s="248" t="s">
        <v>427</v>
      </c>
      <c r="J75" s="248" t="s">
        <v>586</v>
      </c>
      <c r="K75" s="61">
        <f t="shared" si="49"/>
        <v>0.57789115592342077</v>
      </c>
      <c r="L75" s="60">
        <f>IF(I75="Mechanical",(('Mob-Mech'!$E$47+'Demob-Mech'!$E$42)/G75),(('Mob-Hyd'!$E$47+'Demob-Hyd'!$E$42)/G75))</f>
        <v>44972.662143807996</v>
      </c>
      <c r="M75" s="56">
        <f t="shared" si="50"/>
        <v>-4.5985714285714296</v>
      </c>
      <c r="N75" s="56">
        <f t="shared" si="51"/>
        <v>4.5985714285714296</v>
      </c>
      <c r="O75" t="str">
        <f t="shared" si="52"/>
        <v>Averaged</v>
      </c>
      <c r="P75" s="58">
        <f t="shared" si="53"/>
        <v>57917.701294557839</v>
      </c>
      <c r="Q75" s="249">
        <v>1.1000000000000001</v>
      </c>
      <c r="R75" s="58">
        <f t="shared" si="54"/>
        <v>63709.471424013631</v>
      </c>
      <c r="S75" s="58">
        <f>R75*'PrismQC Vols'!$G$14</f>
        <v>4301.3510164320651</v>
      </c>
      <c r="T75" s="282">
        <f>IF(I75="Mechanical",S75/Prod!$D$21,S75/Prod!$D$11)</f>
        <v>6.5544396440869566</v>
      </c>
      <c r="U75" s="61">
        <f>IF(I75="Hydraulic",(T75*('DR-Hyd'!$O$13+'DR-Hyd'!$O$18+'DR-Hyd'!$O$24)/S75),(T75*('DR-Mech'!$O$13+'DR-Mech'!$O$18+'DR-Mech'!$O$24)/S75))</f>
        <v>15.253427281310477</v>
      </c>
      <c r="V75" s="61">
        <f>IF(I75="Hydraulic",(T75*'DR-Hyd'!$O$34)/S75,(T75*'DR-Mech'!$O$34)/S75)+5</f>
        <v>19.221610773333335</v>
      </c>
      <c r="W75" s="61">
        <f>IF(I75="Hydraulic",(Overhead!$F$39/S75)+((Overhead!$D$39/Table!G75)/S75),(Overhead!$K$39/S75)+((Overhead!I109/Table!G75)/S75))</f>
        <v>0.39654207716381701</v>
      </c>
      <c r="X75" s="61">
        <f t="shared" si="55"/>
        <v>1</v>
      </c>
      <c r="Y75" s="61">
        <f>IF(H75="Upland",0,(IF(I75="Mechanical",(T75*'DR-Mech'!$O$24+'DR-Mech'!$O$34)/S75,(T75*'DR-Hyd'!$O$24+'DR-Hyd'!$O$34)/S75)))</f>
        <v>0</v>
      </c>
      <c r="Z75" s="301">
        <f t="shared" si="56"/>
        <v>35.871580131807626</v>
      </c>
      <c r="AA75" s="301">
        <f t="shared" si="57"/>
        <v>41.252317151578765</v>
      </c>
      <c r="AB75" s="302" t="str">
        <f t="shared" si="58"/>
        <v>Moderate</v>
      </c>
      <c r="AC75" s="303">
        <f t="shared" si="59"/>
        <v>0.1399879476584022</v>
      </c>
      <c r="AD75" s="404">
        <f t="shared" si="60"/>
        <v>15579.079988693311</v>
      </c>
      <c r="AE75" s="61">
        <f t="shared" si="61"/>
        <v>0.71743160263615258</v>
      </c>
      <c r="AF75" s="61">
        <f t="shared" si="62"/>
        <v>0.860917923163383</v>
      </c>
      <c r="AG75" s="61">
        <f t="shared" si="63"/>
        <v>1.0761474039542287</v>
      </c>
      <c r="AH75" s="301">
        <f t="shared" si="64"/>
        <v>2.6544969297537646</v>
      </c>
      <c r="AI75" s="301">
        <f t="shared" si="65"/>
        <v>3.0526714692168291</v>
      </c>
      <c r="AJ75" s="310">
        <f t="shared" si="66"/>
        <v>38.526077061561388</v>
      </c>
      <c r="AK75" s="311">
        <f t="shared" si="67"/>
        <v>44.304988620795591</v>
      </c>
      <c r="AL75" s="41" t="s">
        <v>393</v>
      </c>
      <c r="AM75" s="29">
        <v>6969</v>
      </c>
      <c r="AN75" s="29"/>
      <c r="AO75" s="30">
        <v>70</v>
      </c>
      <c r="AP75" s="30">
        <f t="shared" si="46"/>
        <v>35</v>
      </c>
      <c r="AQ75" s="31"/>
      <c r="AR75" s="31"/>
      <c r="AS75" s="28"/>
      <c r="AT75" s="30"/>
      <c r="AU75" s="28"/>
      <c r="AV75" s="30"/>
      <c r="AW75" s="30"/>
      <c r="AX75" s="30"/>
      <c r="AY75" s="30"/>
      <c r="AZ75" s="30"/>
      <c r="BA75" s="31"/>
      <c r="BB75" s="31" t="s">
        <v>223</v>
      </c>
      <c r="BC75" s="31" t="s">
        <v>10</v>
      </c>
      <c r="BD75" s="31" t="s">
        <v>224</v>
      </c>
      <c r="BE75" s="31" t="s">
        <v>225</v>
      </c>
      <c r="BF75" s="28" t="s">
        <v>226</v>
      </c>
      <c r="BG75" s="28" t="s">
        <v>13</v>
      </c>
      <c r="BH75" s="31"/>
      <c r="BI75" s="28"/>
      <c r="BJ75" s="28" t="s">
        <v>227</v>
      </c>
      <c r="BK75" s="32" t="s">
        <v>61</v>
      </c>
      <c r="BL75" s="49" t="s">
        <v>375</v>
      </c>
      <c r="BM75" s="49">
        <v>5</v>
      </c>
      <c r="BN75" s="49">
        <v>1</v>
      </c>
      <c r="BO75" s="49" t="s">
        <v>91</v>
      </c>
      <c r="BP75" s="49" t="s">
        <v>375</v>
      </c>
      <c r="BQ75" s="49" t="s">
        <v>373</v>
      </c>
      <c r="BR75" s="49" t="s">
        <v>394</v>
      </c>
      <c r="BS75" s="49"/>
    </row>
    <row r="76" spans="1:76" ht="45" hidden="1" x14ac:dyDescent="0.25">
      <c r="A76" s="46"/>
      <c r="B76" s="48" t="s">
        <v>272</v>
      </c>
      <c r="C76" t="s">
        <v>378</v>
      </c>
      <c r="D76" t="str">
        <f t="shared" si="47"/>
        <v>33C-Access</v>
      </c>
      <c r="E76" t="s">
        <v>651</v>
      </c>
      <c r="F76">
        <v>5</v>
      </c>
      <c r="G76">
        <f t="shared" si="48"/>
        <v>15</v>
      </c>
      <c r="H76" s="248" t="s">
        <v>423</v>
      </c>
      <c r="I76" s="248" t="s">
        <v>427</v>
      </c>
      <c r="J76" s="248" t="s">
        <v>586</v>
      </c>
      <c r="K76" s="61">
        <f t="shared" si="49"/>
        <v>0.59088467105465525</v>
      </c>
      <c r="L76" s="60">
        <f>IF(I76="Mechanical",(('Mob-Mech'!$E$47+'Demob-Mech'!$E$42)/G76),(('Mob-Hyd'!$E$47+'Demob-Hyd'!$E$42)/G76))</f>
        <v>44972.662143807996</v>
      </c>
      <c r="M76" s="56">
        <f t="shared" si="50"/>
        <v>-4.5985714285714296</v>
      </c>
      <c r="N76" s="56">
        <f t="shared" si="51"/>
        <v>4.5985714285714296</v>
      </c>
      <c r="O76" t="str">
        <f t="shared" si="52"/>
        <v>Averaged</v>
      </c>
      <c r="P76" s="58">
        <f t="shared" si="53"/>
        <v>19089.82061609978</v>
      </c>
      <c r="Q76" s="249">
        <v>1.1000000000000001</v>
      </c>
      <c r="R76" s="58">
        <f t="shared" si="54"/>
        <v>20998.802677709758</v>
      </c>
      <c r="S76" s="58">
        <f>R76*'PrismQC Vols'!$G$14</f>
        <v>1417.7361579486947</v>
      </c>
      <c r="T76" s="282">
        <f>IF(I76="Mechanical",S76/Prod!$D$21,S76/Prod!$D$11)</f>
        <v>2.160359859731344</v>
      </c>
      <c r="U76" s="61">
        <f>IF(I76="Hydraulic",(T76*('DR-Hyd'!$O$13+'DR-Hyd'!$O$18+'DR-Hyd'!$O$24)/S76),(T76*('DR-Mech'!$O$13+'DR-Mech'!$O$18+'DR-Mech'!$O$24)/S76))</f>
        <v>15.253427281310476</v>
      </c>
      <c r="V76" s="61">
        <f>IF(I76="Hydraulic",(T76*'DR-Hyd'!$O$34)/S76,(T76*'DR-Mech'!$O$34)/S76)+5</f>
        <v>19.221610773333332</v>
      </c>
      <c r="W76" s="61">
        <f>IF(I76="Hydraulic",(Overhead!$F$39/S76)+((Overhead!$D$39/Table!G80)/S76),(Overhead!$K$39/S76)+((Overhead!I114/Table!G80)/S76))</f>
        <v>1.203091743907114</v>
      </c>
      <c r="X76" s="61">
        <f t="shared" si="55"/>
        <v>1</v>
      </c>
      <c r="Y76" s="61">
        <f>IF(H76="Upland",0,(IF(I76="Mechanical",(T76*'DR-Mech'!$O$24+'DR-Mech'!$O$34)/S76,(T76*'DR-Hyd'!$O$24+'DR-Hyd'!$O$34)/S76)))</f>
        <v>0</v>
      </c>
      <c r="Z76" s="301">
        <f t="shared" si="56"/>
        <v>36.67812979855092</v>
      </c>
      <c r="AA76" s="301">
        <f t="shared" si="57"/>
        <v>42.179849268333555</v>
      </c>
      <c r="AB76" s="302" t="str">
        <f t="shared" si="58"/>
        <v>Moderate</v>
      </c>
      <c r="AC76" s="303">
        <f t="shared" si="59"/>
        <v>4.6140381083562901E-2</v>
      </c>
      <c r="AD76" s="404">
        <f t="shared" si="60"/>
        <v>5134.9041087714932</v>
      </c>
      <c r="AE76" s="61">
        <f t="shared" si="61"/>
        <v>0.73356259597101836</v>
      </c>
      <c r="AF76" s="61">
        <f t="shared" si="62"/>
        <v>0.88027511516522206</v>
      </c>
      <c r="AG76" s="61">
        <f t="shared" si="63"/>
        <v>1.1003438939565275</v>
      </c>
      <c r="AH76" s="301">
        <f t="shared" si="64"/>
        <v>2.7141816050927678</v>
      </c>
      <c r="AI76" s="301">
        <f t="shared" si="65"/>
        <v>3.1213088458566829</v>
      </c>
      <c r="AJ76" s="310">
        <f t="shared" si="66"/>
        <v>39.392311403643689</v>
      </c>
      <c r="AK76" s="311">
        <f t="shared" si="67"/>
        <v>45.301158114190237</v>
      </c>
      <c r="AL76" s="41" t="s">
        <v>393</v>
      </c>
      <c r="AM76" s="29">
        <v>2297</v>
      </c>
      <c r="AN76" s="29"/>
      <c r="AO76" s="30">
        <v>70</v>
      </c>
      <c r="AP76" s="30">
        <f t="shared" si="46"/>
        <v>35</v>
      </c>
      <c r="AQ76" s="31"/>
      <c r="AR76" s="31"/>
      <c r="AS76" s="28"/>
      <c r="AT76" s="30"/>
      <c r="AU76" s="28"/>
      <c r="AV76" s="30"/>
      <c r="AW76" s="30"/>
      <c r="AX76" s="30"/>
      <c r="AY76" s="30"/>
      <c r="AZ76" s="30"/>
      <c r="BA76" s="31"/>
      <c r="BB76" s="31" t="s">
        <v>223</v>
      </c>
      <c r="BC76" s="31" t="s">
        <v>10</v>
      </c>
      <c r="BD76" s="31" t="s">
        <v>224</v>
      </c>
      <c r="BE76" s="31" t="s">
        <v>225</v>
      </c>
      <c r="BF76" s="28" t="s">
        <v>226</v>
      </c>
      <c r="BG76" s="28" t="s">
        <v>13</v>
      </c>
      <c r="BH76" s="31"/>
      <c r="BI76" s="28"/>
      <c r="BJ76" s="28" t="s">
        <v>227</v>
      </c>
      <c r="BK76" s="32" t="s">
        <v>61</v>
      </c>
      <c r="BL76" s="49" t="s">
        <v>375</v>
      </c>
      <c r="BM76" s="49">
        <v>5</v>
      </c>
      <c r="BN76" s="49">
        <v>1</v>
      </c>
      <c r="BO76" s="49" t="s">
        <v>91</v>
      </c>
      <c r="BP76" s="49" t="s">
        <v>375</v>
      </c>
      <c r="BQ76" s="49" t="s">
        <v>373</v>
      </c>
      <c r="BR76" s="49" t="s">
        <v>394</v>
      </c>
      <c r="BS76" s="49"/>
      <c r="BT76" s="27"/>
      <c r="BU76" s="27"/>
      <c r="BV76" s="27"/>
      <c r="BW76" s="27"/>
      <c r="BX76" s="27"/>
    </row>
    <row r="77" spans="1:76" ht="30" hidden="1" x14ac:dyDescent="0.25">
      <c r="A77" s="50"/>
      <c r="B77" s="48" t="s">
        <v>272</v>
      </c>
      <c r="C77" t="s">
        <v>676</v>
      </c>
      <c r="D77" t="str">
        <f t="shared" si="47"/>
        <v>33C-Private.1</v>
      </c>
      <c r="E77" t="s">
        <v>650</v>
      </c>
      <c r="F77">
        <v>5</v>
      </c>
      <c r="G77">
        <f t="shared" si="48"/>
        <v>15</v>
      </c>
      <c r="H77" s="248" t="s">
        <v>423</v>
      </c>
      <c r="I77" s="248" t="s">
        <v>427</v>
      </c>
      <c r="J77" s="248" t="s">
        <v>586</v>
      </c>
      <c r="K77" s="61">
        <f t="shared" si="49"/>
        <v>0.60831607615247407</v>
      </c>
      <c r="L77" s="60">
        <f>IF(I77="Mechanical",(('Mob-Mech'!$E$47+'Demob-Mech'!$E$42)/G77),(('Mob-Hyd'!$E$47+'Demob-Hyd'!$E$42)/G77))</f>
        <v>44972.662143807996</v>
      </c>
      <c r="M77" s="56">
        <f t="shared" si="50"/>
        <v>-4.5985714285714296</v>
      </c>
      <c r="N77" s="56">
        <f t="shared" si="51"/>
        <v>4.5985714285714296</v>
      </c>
      <c r="O77" t="str">
        <f t="shared" si="52"/>
        <v>Averaged</v>
      </c>
      <c r="P77" s="58">
        <f t="shared" si="53"/>
        <v>10050.609733560092</v>
      </c>
      <c r="Q77" s="249">
        <v>1.1000000000000001</v>
      </c>
      <c r="R77" s="58">
        <f t="shared" si="54"/>
        <v>11055.670706916102</v>
      </c>
      <c r="S77" s="58">
        <f>R77*'PrismQC Vols'!$G$14</f>
        <v>746.42465821192502</v>
      </c>
      <c r="T77" s="282">
        <f>IF(I77="Mechanical",S77/Prod!$D$21,S77/Prod!$D$11)</f>
        <v>1.1374090029896</v>
      </c>
      <c r="U77" s="61">
        <f>IF(I77="Hydraulic",(T77*('DR-Hyd'!$O$13+'DR-Hyd'!$O$18+'DR-Hyd'!$O$24)/S77),(T77*('DR-Mech'!$O$13+'DR-Mech'!$O$18+'DR-Mech'!$O$24)/S77))</f>
        <v>15.253427281310476</v>
      </c>
      <c r="V77" s="61">
        <f>IF(I77="Hydraulic",(T77*'DR-Hyd'!$O$34)/S77,(T77*'DR-Mech'!$O$34)/S77)+5</f>
        <v>19.221610773333335</v>
      </c>
      <c r="W77" s="61">
        <f>IF(I77="Hydraulic",(Overhead!$F$39/S77)+((Overhead!$D$39/Table!G76)/S77),(Overhead!$K$39/S77)+((Overhead!I110/Table!G76)/S77))</f>
        <v>2.285115648178913</v>
      </c>
      <c r="X77" s="61">
        <f t="shared" si="55"/>
        <v>1</v>
      </c>
      <c r="Y77" s="61">
        <f>IF(H77="Upland",0,(IF(I77="Mechanical",(T77*'DR-Mech'!$O$24+'DR-Mech'!$O$34)/S77,(T77*'DR-Hyd'!$O$24+'DR-Hyd'!$O$34)/S77)))</f>
        <v>0</v>
      </c>
      <c r="Z77" s="301">
        <f t="shared" si="56"/>
        <v>37.760153702822727</v>
      </c>
      <c r="AA77" s="301">
        <f t="shared" si="57"/>
        <v>43.424176758246134</v>
      </c>
      <c r="AB77" s="302" t="str">
        <f t="shared" si="58"/>
        <v>Low</v>
      </c>
      <c r="AC77" s="303">
        <f t="shared" si="59"/>
        <v>2.6543847566574838E-2</v>
      </c>
      <c r="AD77" s="404">
        <f t="shared" si="60"/>
        <v>2954.0309102640904</v>
      </c>
      <c r="AE77" s="61">
        <f t="shared" si="61"/>
        <v>0.75520307405645459</v>
      </c>
      <c r="AF77" s="61">
        <f t="shared" si="62"/>
        <v>0.90624368886774542</v>
      </c>
      <c r="AG77" s="61">
        <f t="shared" si="63"/>
        <v>1.1328046110846817</v>
      </c>
      <c r="AH77" s="301">
        <f t="shared" si="64"/>
        <v>2.7942513740088817</v>
      </c>
      <c r="AI77" s="301">
        <f t="shared" si="65"/>
        <v>3.2133890801102138</v>
      </c>
      <c r="AJ77" s="310">
        <f t="shared" si="66"/>
        <v>40.554405076831607</v>
      </c>
      <c r="AK77" s="311">
        <f t="shared" si="67"/>
        <v>46.637565838356345</v>
      </c>
      <c r="AL77" s="41" t="s">
        <v>272</v>
      </c>
      <c r="AM77" s="29">
        <v>925</v>
      </c>
      <c r="AN77" s="29"/>
      <c r="AO77" s="30">
        <v>100</v>
      </c>
      <c r="AP77" s="30">
        <f t="shared" si="46"/>
        <v>50</v>
      </c>
      <c r="AQ77" s="31"/>
      <c r="AR77" s="31"/>
      <c r="AS77" s="28"/>
      <c r="AT77" s="30"/>
      <c r="AU77" s="28"/>
      <c r="AV77" s="30"/>
      <c r="AW77" s="30"/>
      <c r="AX77" s="30"/>
      <c r="AY77" s="30"/>
      <c r="AZ77" s="30"/>
      <c r="BA77" s="31"/>
      <c r="BB77" s="31" t="s">
        <v>273</v>
      </c>
      <c r="BC77" s="31" t="s">
        <v>10</v>
      </c>
      <c r="BD77" s="31" t="s">
        <v>274</v>
      </c>
      <c r="BE77" s="31" t="s">
        <v>27</v>
      </c>
      <c r="BF77" s="28" t="s">
        <v>275</v>
      </c>
      <c r="BG77" s="28" t="s">
        <v>267</v>
      </c>
      <c r="BH77" s="31"/>
      <c r="BI77" s="28"/>
      <c r="BJ77" s="28"/>
      <c r="BK77" s="32" t="s">
        <v>61</v>
      </c>
      <c r="BL77" s="49" t="s">
        <v>370</v>
      </c>
      <c r="BM77" s="49">
        <v>5</v>
      </c>
      <c r="BN77" s="49">
        <v>1</v>
      </c>
      <c r="BO77" s="49" t="s">
        <v>374</v>
      </c>
      <c r="BP77" s="49" t="s">
        <v>372</v>
      </c>
      <c r="BQ77" s="49" t="s">
        <v>373</v>
      </c>
      <c r="BR77" s="49" t="s">
        <v>219</v>
      </c>
      <c r="BS77" s="49"/>
      <c r="BT77" s="27"/>
      <c r="BU77" s="27"/>
      <c r="BV77" s="27"/>
      <c r="BW77" s="27"/>
      <c r="BX77" s="27"/>
    </row>
    <row r="78" spans="1:76" hidden="1" x14ac:dyDescent="0.25">
      <c r="A78" s="50"/>
      <c r="B78" s="48" t="s">
        <v>272</v>
      </c>
      <c r="C78" t="s">
        <v>677</v>
      </c>
      <c r="D78" t="str">
        <f t="shared" si="47"/>
        <v>33C-Private.2</v>
      </c>
      <c r="E78" t="s">
        <v>650</v>
      </c>
      <c r="F78">
        <v>5</v>
      </c>
      <c r="G78">
        <f t="shared" si="48"/>
        <v>15</v>
      </c>
      <c r="H78" s="248" t="s">
        <v>423</v>
      </c>
      <c r="I78" s="248" t="s">
        <v>427</v>
      </c>
      <c r="J78" s="248" t="s">
        <v>586</v>
      </c>
      <c r="K78" s="61">
        <f t="shared" si="49"/>
        <v>0.60834038080029684</v>
      </c>
      <c r="L78" s="60">
        <f>IF(I78="Mechanical",(('Mob-Mech'!$E$47+'Demob-Mech'!$E$42)/G78),(('Mob-Hyd'!$E$47+'Demob-Hyd'!$E$42)/G78))</f>
        <v>44972.662143807996</v>
      </c>
      <c r="M78" s="56">
        <f t="shared" si="50"/>
        <v>-4.5985714285714296</v>
      </c>
      <c r="N78" s="56">
        <f t="shared" si="51"/>
        <v>4.5985714285714296</v>
      </c>
      <c r="O78" t="str">
        <f t="shared" si="52"/>
        <v>Averaged</v>
      </c>
      <c r="P78" s="58">
        <f t="shared" si="53"/>
        <v>10043.978544897962</v>
      </c>
      <c r="Q78" s="249">
        <v>1.1000000000000001</v>
      </c>
      <c r="R78" s="58">
        <f t="shared" si="54"/>
        <v>11048.376399387758</v>
      </c>
      <c r="S78" s="58">
        <f>R78*'PrismQC Vols'!$G$14</f>
        <v>745.93218234609355</v>
      </c>
      <c r="T78" s="282">
        <f>IF(I78="Mechanical",S78/Prod!$D$21,S78/Prod!$D$11)</f>
        <v>1.1366585635749997</v>
      </c>
      <c r="U78" s="61">
        <f>IF(I78="Hydraulic",(T78*('DR-Hyd'!$O$13+'DR-Hyd'!$O$18+'DR-Hyd'!$O$24)/S78),(T78*('DR-Mech'!$O$13+'DR-Mech'!$O$18+'DR-Mech'!$O$24)/S78))</f>
        <v>15.253427281310476</v>
      </c>
      <c r="V78" s="61">
        <f>IF(I78="Hydraulic",(T78*'DR-Hyd'!$O$34)/S78,(T78*'DR-Mech'!$O$34)/S78)+5</f>
        <v>19.221610773333335</v>
      </c>
      <c r="W78" s="61">
        <f>IF(I78="Hydraulic",(Overhead!$F$39/S78)+((Overhead!$D$39/Table!G77)/S78),(Overhead!$K$39/S78)+((Overhead!I111/Table!G77)/S78))</f>
        <v>2.2866243165726301</v>
      </c>
      <c r="X78" s="61">
        <f t="shared" si="55"/>
        <v>1</v>
      </c>
      <c r="Y78" s="61">
        <f>IF(H78="Upland",0,(IF(I78="Mechanical",(T78*'DR-Mech'!$O$24+'DR-Mech'!$O$34)/S78,(T78*'DR-Hyd'!$O$24+'DR-Hyd'!$O$34)/S78)))</f>
        <v>0</v>
      </c>
      <c r="Z78" s="301">
        <f t="shared" si="56"/>
        <v>37.761662371216438</v>
      </c>
      <c r="AA78" s="301">
        <f t="shared" si="57"/>
        <v>43.425911726898903</v>
      </c>
      <c r="AB78" s="302" t="str">
        <f t="shared" si="58"/>
        <v>Low</v>
      </c>
      <c r="AC78" s="303">
        <f t="shared" si="59"/>
        <v>2.5903925619834709E-2</v>
      </c>
      <c r="AD78" s="404">
        <f t="shared" si="60"/>
        <v>2882.8148137247508</v>
      </c>
      <c r="AE78" s="61">
        <f t="shared" si="61"/>
        <v>0.75523324742432874</v>
      </c>
      <c r="AF78" s="61">
        <f t="shared" si="62"/>
        <v>0.90627989690919453</v>
      </c>
      <c r="AG78" s="61">
        <f t="shared" si="63"/>
        <v>1.1328498711364932</v>
      </c>
      <c r="AH78" s="301">
        <f t="shared" si="64"/>
        <v>2.7943630154700161</v>
      </c>
      <c r="AI78" s="301">
        <f t="shared" si="65"/>
        <v>3.2135174677905183</v>
      </c>
      <c r="AJ78" s="310">
        <f t="shared" si="66"/>
        <v>40.556025386686457</v>
      </c>
      <c r="AK78" s="311">
        <f t="shared" si="67"/>
        <v>46.63942919468942</v>
      </c>
      <c r="AL78" s="41" t="s">
        <v>270</v>
      </c>
      <c r="AM78" s="29">
        <v>1003</v>
      </c>
      <c r="AN78" s="29"/>
      <c r="AO78" s="30">
        <v>90</v>
      </c>
      <c r="AP78" s="30">
        <f t="shared" si="46"/>
        <v>45</v>
      </c>
      <c r="AQ78" s="31"/>
      <c r="AR78" s="31"/>
      <c r="AS78" s="28"/>
      <c r="AT78" s="30"/>
      <c r="AU78" s="28"/>
      <c r="AV78" s="30"/>
      <c r="AW78" s="30"/>
      <c r="AX78" s="30"/>
      <c r="AY78" s="30"/>
      <c r="AZ78" s="30"/>
      <c r="BA78" s="31"/>
      <c r="BB78" s="31" t="s">
        <v>271</v>
      </c>
      <c r="BC78" s="31" t="s">
        <v>91</v>
      </c>
      <c r="BD78" s="31" t="s">
        <v>11</v>
      </c>
      <c r="BE78" s="31" t="s">
        <v>27</v>
      </c>
      <c r="BF78" s="28"/>
      <c r="BG78" s="28" t="s">
        <v>267</v>
      </c>
      <c r="BH78" s="31"/>
      <c r="BI78" s="28"/>
      <c r="BJ78" s="28"/>
      <c r="BK78" s="32" t="s">
        <v>61</v>
      </c>
      <c r="BL78" s="49" t="s">
        <v>370</v>
      </c>
      <c r="BM78" s="49">
        <v>5</v>
      </c>
      <c r="BN78" s="49">
        <v>1</v>
      </c>
      <c r="BO78" s="49" t="s">
        <v>374</v>
      </c>
      <c r="BP78" s="49" t="s">
        <v>372</v>
      </c>
      <c r="BQ78" s="49" t="s">
        <v>373</v>
      </c>
      <c r="BR78" s="49" t="s">
        <v>219</v>
      </c>
      <c r="BS78" s="49"/>
      <c r="BT78" s="27"/>
      <c r="BU78" s="27"/>
      <c r="BV78" s="27"/>
      <c r="BW78" s="27"/>
      <c r="BX78" s="27"/>
    </row>
    <row r="79" spans="1:76" ht="30" hidden="1" x14ac:dyDescent="0.25">
      <c r="A79" s="50"/>
      <c r="B79" s="48" t="s">
        <v>272</v>
      </c>
      <c r="C79" t="s">
        <v>678</v>
      </c>
      <c r="D79" t="str">
        <f t="shared" si="47"/>
        <v>33C-Private.3</v>
      </c>
      <c r="E79" t="s">
        <v>650</v>
      </c>
      <c r="F79">
        <v>5</v>
      </c>
      <c r="G79">
        <f t="shared" si="48"/>
        <v>15</v>
      </c>
      <c r="H79" s="248" t="s">
        <v>423</v>
      </c>
      <c r="I79" s="248" t="s">
        <v>427</v>
      </c>
      <c r="J79" s="248" t="s">
        <v>586</v>
      </c>
      <c r="K79" s="61">
        <f t="shared" si="49"/>
        <v>0.60719895004661584</v>
      </c>
      <c r="L79" s="60">
        <f>IF(I79="Mechanical",(('Mob-Mech'!$E$47+'Demob-Mech'!$E$42)/G79),(('Mob-Hyd'!$E$47+'Demob-Hyd'!$E$42)/G79))</f>
        <v>44972.662143807996</v>
      </c>
      <c r="M79" s="56">
        <f t="shared" si="50"/>
        <v>-4.5985714285714296</v>
      </c>
      <c r="N79" s="56">
        <f t="shared" si="51"/>
        <v>4.5985714285714296</v>
      </c>
      <c r="O79" t="str">
        <f t="shared" si="52"/>
        <v>Averaged</v>
      </c>
      <c r="P79" s="58">
        <f t="shared" si="53"/>
        <v>10365.148369614515</v>
      </c>
      <c r="Q79" s="249">
        <v>1.1000000000000001</v>
      </c>
      <c r="R79" s="58">
        <f t="shared" si="54"/>
        <v>11401.663206575968</v>
      </c>
      <c r="S79" s="58">
        <f>R79*'PrismQC Vols'!$G$14</f>
        <v>769.7843747003102</v>
      </c>
      <c r="T79" s="282">
        <f>IF(I79="Mechanical",S79/Prod!$D$21,S79/Prod!$D$11)</f>
        <v>1.1730047614480916</v>
      </c>
      <c r="U79" s="61">
        <f>IF(I79="Hydraulic",(T79*('DR-Hyd'!$O$13+'DR-Hyd'!$O$18+'DR-Hyd'!$O$24)/S79),(T79*('DR-Mech'!$O$13+'DR-Mech'!$O$18+'DR-Mech'!$O$24)/S79))</f>
        <v>15.253427281310476</v>
      </c>
      <c r="V79" s="61">
        <f>IF(I79="Hydraulic",(T79*'DR-Hyd'!$O$34)/S79,(T79*'DR-Mech'!$O$34)/S79)+5</f>
        <v>19.221610773333332</v>
      </c>
      <c r="W79" s="61">
        <f>IF(I79="Hydraulic",(Overhead!$F$39/S79)+((Overhead!$D$39/Table!G78)/S79),(Overhead!$K$39/S79)+((Overhead!I112/Table!G78)/S79))</f>
        <v>2.2157720041157125</v>
      </c>
      <c r="X79" s="61">
        <f t="shared" si="55"/>
        <v>1</v>
      </c>
      <c r="Y79" s="61">
        <f>IF(H79="Upland",0,(IF(I79="Mechanical",(T79*'DR-Mech'!$O$24+'DR-Mech'!$O$34)/S79,(T79*'DR-Hyd'!$O$24+'DR-Hyd'!$O$34)/S79)))</f>
        <v>0</v>
      </c>
      <c r="Z79" s="301">
        <f t="shared" si="56"/>
        <v>37.690810058759517</v>
      </c>
      <c r="AA79" s="301">
        <f t="shared" si="57"/>
        <v>43.344431567573444</v>
      </c>
      <c r="AB79" s="302" t="str">
        <f t="shared" si="58"/>
        <v>Low</v>
      </c>
      <c r="AC79" s="303">
        <f t="shared" si="59"/>
        <v>2.5347222222222222E-2</v>
      </c>
      <c r="AD79" s="404">
        <f t="shared" si="60"/>
        <v>2820.8600032824552</v>
      </c>
      <c r="AE79" s="61">
        <f t="shared" si="61"/>
        <v>0.75381620117519033</v>
      </c>
      <c r="AF79" s="61">
        <f t="shared" si="62"/>
        <v>0.90457944141022839</v>
      </c>
      <c r="AG79" s="61">
        <f t="shared" si="63"/>
        <v>1.1307243017627855</v>
      </c>
      <c r="AH79" s="301">
        <f t="shared" si="64"/>
        <v>2.7891199443482044</v>
      </c>
      <c r="AI79" s="301">
        <f t="shared" si="65"/>
        <v>3.2074879360004349</v>
      </c>
      <c r="AJ79" s="310">
        <f t="shared" si="66"/>
        <v>40.479930003107725</v>
      </c>
      <c r="AK79" s="311">
        <f t="shared" si="67"/>
        <v>46.551919503573878</v>
      </c>
      <c r="AL79" s="41" t="s">
        <v>268</v>
      </c>
      <c r="AM79" s="29">
        <v>1210</v>
      </c>
      <c r="AN79" s="29"/>
      <c r="AO79" s="51">
        <v>73</v>
      </c>
      <c r="AP79" s="30">
        <f t="shared" si="46"/>
        <v>36.5</v>
      </c>
      <c r="AQ79" s="31"/>
      <c r="AR79" s="31"/>
      <c r="AS79" s="28"/>
      <c r="AT79" s="30"/>
      <c r="AU79" s="28"/>
      <c r="AV79" s="30"/>
      <c r="AW79" s="30"/>
      <c r="AX79" s="30"/>
      <c r="AY79" s="30"/>
      <c r="AZ79" s="30"/>
      <c r="BA79" s="31"/>
      <c r="BB79" s="31"/>
      <c r="BC79" s="31" t="s">
        <v>91</v>
      </c>
      <c r="BD79" s="31" t="s">
        <v>11</v>
      </c>
      <c r="BE79" s="31" t="s">
        <v>269</v>
      </c>
      <c r="BF79" s="28"/>
      <c r="BG79" s="28" t="s">
        <v>267</v>
      </c>
      <c r="BH79" s="31"/>
      <c r="BI79" s="28"/>
      <c r="BJ79" s="28"/>
      <c r="BK79" s="32" t="s">
        <v>61</v>
      </c>
      <c r="BL79" s="49" t="s">
        <v>370</v>
      </c>
      <c r="BM79" s="49">
        <v>5</v>
      </c>
      <c r="BN79" s="49">
        <v>1</v>
      </c>
      <c r="BO79" s="49" t="s">
        <v>374</v>
      </c>
      <c r="BP79" s="49" t="s">
        <v>372</v>
      </c>
      <c r="BQ79" s="49" t="s">
        <v>373</v>
      </c>
      <c r="BR79" s="49" t="s">
        <v>219</v>
      </c>
      <c r="BS79" s="49"/>
      <c r="BT79" s="27"/>
      <c r="BU79" s="27"/>
      <c r="BV79" s="27"/>
      <c r="BW79" s="27"/>
      <c r="BX79" s="27"/>
    </row>
    <row r="80" spans="1:76" hidden="1" x14ac:dyDescent="0.25">
      <c r="A80" s="50"/>
      <c r="B80" s="48" t="s">
        <v>272</v>
      </c>
      <c r="C80" t="s">
        <v>679</v>
      </c>
      <c r="D80" t="str">
        <f t="shared" si="47"/>
        <v>33C-Private.4</v>
      </c>
      <c r="E80" t="s">
        <v>650</v>
      </c>
      <c r="F80">
        <v>5</v>
      </c>
      <c r="G80">
        <f t="shared" si="48"/>
        <v>15</v>
      </c>
      <c r="H80" s="248" t="s">
        <v>423</v>
      </c>
      <c r="I80" s="248" t="s">
        <v>427</v>
      </c>
      <c r="J80" s="248" t="s">
        <v>586</v>
      </c>
      <c r="K80" s="61">
        <f t="shared" si="49"/>
        <v>0.63238390163581382</v>
      </c>
      <c r="L80" s="60">
        <f>IF(I80="Mechanical",(('Mob-Mech'!$E$47+'Demob-Mech'!$E$42)/G80),(('Mob-Hyd'!$E$47+'Demob-Hyd'!$E$42)/G80))</f>
        <v>44972.662143807996</v>
      </c>
      <c r="M80" s="56">
        <f t="shared" si="50"/>
        <v>-4.5985714285714296</v>
      </c>
      <c r="N80" s="56">
        <f t="shared" si="51"/>
        <v>4.5985714285714296</v>
      </c>
      <c r="O80" t="str">
        <f t="shared" si="52"/>
        <v>Averaged</v>
      </c>
      <c r="P80" s="58">
        <f t="shared" si="53"/>
        <v>6077.3476682539704</v>
      </c>
      <c r="Q80" s="249">
        <v>1.1000000000000001</v>
      </c>
      <c r="R80" s="58">
        <f t="shared" si="54"/>
        <v>6685.0824350793682</v>
      </c>
      <c r="S80" s="58">
        <f>R80*'PrismQC Vols'!$G$14</f>
        <v>451.34397577535663</v>
      </c>
      <c r="T80" s="282">
        <f>IF(I80="Mechanical",S80/Prod!$D$21,S80/Prod!$D$11)</f>
        <v>0.68776224880054337</v>
      </c>
      <c r="U80" s="61">
        <f>IF(I80="Hydraulic",(T80*('DR-Hyd'!$O$13+'DR-Hyd'!$O$18+'DR-Hyd'!$O$24)/S80),(T80*('DR-Mech'!$O$13+'DR-Mech'!$O$18+'DR-Mech'!$O$24)/S80))</f>
        <v>15.253427281310476</v>
      </c>
      <c r="V80" s="61">
        <f>IF(I80="Hydraulic",(T80*'DR-Hyd'!$O$34)/S80,(T80*'DR-Mech'!$O$34)/S80)+5</f>
        <v>19.221610773333332</v>
      </c>
      <c r="W80" s="61">
        <f>IF(I80="Hydraulic",(Overhead!$F$39/S80)+((Overhead!$D$39/Table!G79)/S80),(Overhead!$K$39/S80)+((Overhead!I113/Table!G79)/S80))</f>
        <v>3.7790837104594766</v>
      </c>
      <c r="X80" s="61">
        <f t="shared" si="55"/>
        <v>1</v>
      </c>
      <c r="Y80" s="61">
        <f>IF(H80="Upland",0,(IF(I80="Mechanical",(T80*'DR-Mech'!$O$24+'DR-Mech'!$O$34)/S80,(T80*'DR-Hyd'!$O$24+'DR-Hyd'!$O$34)/S80)))</f>
        <v>0</v>
      </c>
      <c r="Z80" s="301">
        <f t="shared" si="56"/>
        <v>39.254121765103278</v>
      </c>
      <c r="AA80" s="301">
        <f t="shared" si="57"/>
        <v>45.142240029868766</v>
      </c>
      <c r="AB80" s="302" t="str">
        <f t="shared" si="58"/>
        <v>Low</v>
      </c>
      <c r="AC80" s="303">
        <f t="shared" si="59"/>
        <v>1.6543847566574843E-2</v>
      </c>
      <c r="AD80" s="404">
        <f t="shared" si="60"/>
        <v>1841.1436760923825</v>
      </c>
      <c r="AE80" s="61">
        <f t="shared" si="61"/>
        <v>0.78508243530206556</v>
      </c>
      <c r="AF80" s="61">
        <f t="shared" si="62"/>
        <v>0.94209892236247872</v>
      </c>
      <c r="AG80" s="61">
        <f t="shared" si="63"/>
        <v>1.1776236529530983</v>
      </c>
      <c r="AH80" s="301">
        <f t="shared" si="64"/>
        <v>2.9048050106176424</v>
      </c>
      <c r="AI80" s="301">
        <f t="shared" si="65"/>
        <v>3.3405257622102886</v>
      </c>
      <c r="AJ80" s="310">
        <f t="shared" si="66"/>
        <v>42.158926775720921</v>
      </c>
      <c r="AK80" s="311">
        <f t="shared" si="67"/>
        <v>48.482765792079057</v>
      </c>
      <c r="AL80" s="41" t="s">
        <v>266</v>
      </c>
      <c r="AM80" s="29">
        <v>497</v>
      </c>
      <c r="AN80" s="29"/>
      <c r="AO80" s="30">
        <v>116</v>
      </c>
      <c r="AP80" s="30">
        <f t="shared" si="46"/>
        <v>58</v>
      </c>
      <c r="AQ80" s="31"/>
      <c r="AR80" s="31"/>
      <c r="AS80" s="28"/>
      <c r="AT80" s="30"/>
      <c r="AU80" s="28"/>
      <c r="AV80" s="30"/>
      <c r="AW80" s="30"/>
      <c r="AX80" s="30"/>
      <c r="AY80" s="30"/>
      <c r="AZ80" s="30"/>
      <c r="BA80" s="31"/>
      <c r="BB80" s="31" t="s">
        <v>219</v>
      </c>
      <c r="BC80" s="31" t="s">
        <v>10</v>
      </c>
      <c r="BD80" s="31" t="s">
        <v>11</v>
      </c>
      <c r="BE80" s="31" t="s">
        <v>27</v>
      </c>
      <c r="BF80" s="28"/>
      <c r="BG80" s="28" t="s">
        <v>267</v>
      </c>
      <c r="BH80" s="31"/>
      <c r="BI80" s="28"/>
      <c r="BJ80" s="28"/>
      <c r="BK80" s="32" t="s">
        <v>61</v>
      </c>
      <c r="BL80" s="49" t="s">
        <v>370</v>
      </c>
      <c r="BM80" s="49">
        <v>5</v>
      </c>
      <c r="BN80" s="49">
        <v>1</v>
      </c>
      <c r="BO80" s="49" t="s">
        <v>374</v>
      </c>
      <c r="BP80" s="49" t="s">
        <v>372</v>
      </c>
      <c r="BQ80" s="49" t="s">
        <v>373</v>
      </c>
      <c r="BR80" s="49" t="s">
        <v>219</v>
      </c>
      <c r="BS80" s="49"/>
      <c r="BT80" s="27"/>
      <c r="BU80" s="27"/>
      <c r="BV80" s="27"/>
      <c r="BW80" s="27"/>
      <c r="BX80" s="27"/>
    </row>
    <row r="81" spans="1:76" ht="30" hidden="1" x14ac:dyDescent="0.25">
      <c r="B81" s="42" t="s">
        <v>94</v>
      </c>
      <c r="C81" t="s">
        <v>370</v>
      </c>
      <c r="D81" t="str">
        <f t="shared" si="47"/>
        <v>34-Private</v>
      </c>
      <c r="E81" t="s">
        <v>650</v>
      </c>
      <c r="F81">
        <v>6</v>
      </c>
      <c r="G81">
        <f t="shared" si="48"/>
        <v>21</v>
      </c>
      <c r="H81" s="248" t="s">
        <v>423</v>
      </c>
      <c r="I81" s="248" t="s">
        <v>427</v>
      </c>
      <c r="J81" s="248" t="s">
        <v>586</v>
      </c>
      <c r="K81" s="61">
        <f t="shared" si="49"/>
        <v>0.60141440409454161</v>
      </c>
      <c r="L81" s="60">
        <f>IF(I81="Mechanical",(('Mob-Mech'!$E$47+'Demob-Mech'!$E$42)/G81),(('Mob-Hyd'!$E$47+'Demob-Hyd'!$E$42)/G81))</f>
        <v>32123.33010272</v>
      </c>
      <c r="M81" s="56">
        <f t="shared" si="50"/>
        <v>-4.5985714285714296</v>
      </c>
      <c r="N81" s="56">
        <f t="shared" si="51"/>
        <v>4.5985714285714296</v>
      </c>
      <c r="O81" t="str">
        <f t="shared" si="52"/>
        <v>Averaged</v>
      </c>
      <c r="P81" s="58">
        <f t="shared" si="53"/>
        <v>12369.648136961456</v>
      </c>
      <c r="Q81" s="249">
        <v>1.1000000000000001</v>
      </c>
      <c r="R81" s="58">
        <f t="shared" si="54"/>
        <v>13606.612950657602</v>
      </c>
      <c r="S81" s="58">
        <f>R81*'PrismQC Vols'!$G$14</f>
        <v>918.65176617127929</v>
      </c>
      <c r="T81" s="282">
        <f>IF(I81="Mechanical",S81/Prod!$D$21,S81/Prod!$D$11)</f>
        <v>1.3998503103562352</v>
      </c>
      <c r="U81" s="61">
        <f>IF(I81="Hydraulic",(T81*('DR-Hyd'!$O$13+'DR-Hyd'!$O$18+'DR-Hyd'!$O$24)/S81),(T81*('DR-Mech'!$O$13+'DR-Mech'!$O$18+'DR-Mech'!$O$24)/S81))</f>
        <v>15.253427281310477</v>
      </c>
      <c r="V81" s="61">
        <f>IF(I81="Hydraulic",(T81*'DR-Hyd'!$O$34)/S81,(T81*'DR-Mech'!$O$34)/S81)+5</f>
        <v>19.221610773333335</v>
      </c>
      <c r="W81" s="61">
        <f>IF(I81="Hydraulic",(Overhead!$F$39/S81)+((Overhead!$D$39/Table!G81)/S81),(Overhead!$K$39/S81)+((Overhead!I115/Table!G81)/S81))</f>
        <v>1.8567064577423904</v>
      </c>
      <c r="X81" s="61">
        <f t="shared" si="55"/>
        <v>1</v>
      </c>
      <c r="Y81" s="61">
        <f>IF(H81="Upland",0,(IF(I81="Mechanical",(T81*'DR-Mech'!$O$24+'DR-Mech'!$O$34)/S81,(T81*'DR-Hyd'!$O$24+'DR-Hyd'!$O$34)/S81)))</f>
        <v>0</v>
      </c>
      <c r="Z81" s="301">
        <f t="shared" si="56"/>
        <v>37.331744512386202</v>
      </c>
      <c r="AA81" s="301">
        <f t="shared" si="57"/>
        <v>42.931506189244125</v>
      </c>
      <c r="AB81" s="302" t="str">
        <f t="shared" si="58"/>
        <v>High</v>
      </c>
      <c r="AC81" s="303">
        <f t="shared" si="59"/>
        <v>6.0498163452708913E-2</v>
      </c>
      <c r="AD81" s="404">
        <f t="shared" si="60"/>
        <v>6732.7633797353155</v>
      </c>
      <c r="AE81" s="61">
        <f t="shared" si="61"/>
        <v>0.746634890247724</v>
      </c>
      <c r="AF81" s="61">
        <f t="shared" si="62"/>
        <v>0.89596186829726887</v>
      </c>
      <c r="AG81" s="61">
        <f t="shared" si="63"/>
        <v>1.1199523353715859</v>
      </c>
      <c r="AH81" s="301">
        <f t="shared" si="64"/>
        <v>2.7625490939165784</v>
      </c>
      <c r="AI81" s="301">
        <f t="shared" si="65"/>
        <v>3.1769314580040651</v>
      </c>
      <c r="AJ81" s="310">
        <f t="shared" si="66"/>
        <v>40.094293606302777</v>
      </c>
      <c r="AK81" s="311">
        <f t="shared" si="67"/>
        <v>46.108437647248188</v>
      </c>
      <c r="AL81" s="42" t="s">
        <v>94</v>
      </c>
      <c r="AM81" s="14">
        <v>1444</v>
      </c>
      <c r="AN81" s="14"/>
      <c r="AO81" s="4">
        <v>73</v>
      </c>
      <c r="AP81" s="5">
        <f t="shared" si="46"/>
        <v>36.5</v>
      </c>
      <c r="AQ81" s="6" t="s">
        <v>95</v>
      </c>
      <c r="AR81" s="6" t="s">
        <v>96</v>
      </c>
      <c r="AS81" s="3" t="s">
        <v>8</v>
      </c>
      <c r="AT81" s="4">
        <v>-6.4</v>
      </c>
      <c r="AU81" s="3"/>
      <c r="AV81" s="4"/>
      <c r="AW81" s="4"/>
      <c r="AX81" s="4"/>
      <c r="AY81" s="4"/>
      <c r="AZ81" s="4"/>
      <c r="BA81" s="6"/>
      <c r="BB81" s="6"/>
      <c r="BC81" s="6"/>
      <c r="BD81" s="6"/>
      <c r="BE81" s="6" t="s">
        <v>40</v>
      </c>
      <c r="BF81" s="3"/>
      <c r="BG81" s="3" t="s">
        <v>28</v>
      </c>
      <c r="BH81" s="6"/>
      <c r="BI81" s="3"/>
      <c r="BJ81" s="3"/>
      <c r="BK81" s="7" t="s">
        <v>61</v>
      </c>
      <c r="BL81" t="s">
        <v>370</v>
      </c>
      <c r="BM81">
        <v>6</v>
      </c>
      <c r="BN81">
        <v>1</v>
      </c>
      <c r="BO81" t="s">
        <v>91</v>
      </c>
      <c r="BP81" t="s">
        <v>372</v>
      </c>
      <c r="BQ81" t="s">
        <v>373</v>
      </c>
      <c r="BR81" t="s">
        <v>219</v>
      </c>
      <c r="BS81"/>
    </row>
    <row r="82" spans="1:76" hidden="1" x14ac:dyDescent="0.25">
      <c r="B82" s="42" t="s">
        <v>97</v>
      </c>
      <c r="C82" t="s">
        <v>370</v>
      </c>
      <c r="D82" t="str">
        <f t="shared" si="47"/>
        <v>35-Private</v>
      </c>
      <c r="E82" t="s">
        <v>650</v>
      </c>
      <c r="F82">
        <v>6</v>
      </c>
      <c r="G82">
        <f t="shared" si="48"/>
        <v>21</v>
      </c>
      <c r="H82" s="248" t="s">
        <v>423</v>
      </c>
      <c r="I82" s="248" t="s">
        <v>427</v>
      </c>
      <c r="J82" s="248" t="s">
        <v>586</v>
      </c>
      <c r="K82" s="61">
        <f t="shared" si="49"/>
        <v>0.60378744348419011</v>
      </c>
      <c r="L82" s="60">
        <f>IF(I82="Mechanical",(('Mob-Mech'!$E$47+'Demob-Mech'!$E$42)/G82),(('Mob-Hyd'!$E$47+'Demob-Hyd'!$E$42)/G82))</f>
        <v>32123.33010272</v>
      </c>
      <c r="M82" s="56">
        <f t="shared" si="50"/>
        <v>-4.5985714285714296</v>
      </c>
      <c r="N82" s="56">
        <f t="shared" si="51"/>
        <v>4.5985714285714296</v>
      </c>
      <c r="O82" t="str">
        <f t="shared" si="52"/>
        <v>Averaged</v>
      </c>
      <c r="P82" s="58">
        <f t="shared" si="53"/>
        <v>11460.431976190479</v>
      </c>
      <c r="Q82" s="249">
        <v>1.1000000000000001</v>
      </c>
      <c r="R82" s="58">
        <f t="shared" si="54"/>
        <v>12606.475173809527</v>
      </c>
      <c r="S82" s="58">
        <f>R82*'PrismQC Vols'!$G$14</f>
        <v>851.1273691411061</v>
      </c>
      <c r="T82" s="282">
        <f>IF(I82="Mechanical",S82/Prod!$D$21,S82/Prod!$D$11)</f>
        <v>1.2969559910721618</v>
      </c>
      <c r="U82" s="61">
        <f>IF(I82="Hydraulic",(T82*('DR-Hyd'!$O$13+'DR-Hyd'!$O$18+'DR-Hyd'!$O$24)/S82),(T82*('DR-Mech'!$O$13+'DR-Mech'!$O$18+'DR-Mech'!$O$24)/S82))</f>
        <v>15.253427281310477</v>
      </c>
      <c r="V82" s="61">
        <f>IF(I82="Hydraulic",(T82*'DR-Hyd'!$O$34)/S82,(T82*'DR-Mech'!$O$34)/S82)+5</f>
        <v>19.221610773333335</v>
      </c>
      <c r="W82" s="61">
        <f>IF(I82="Hydraulic",(Overhead!$F$39/S82)+((Overhead!$D$39/Table!G82)/S82),(Overhead!$K$39/S82)+((Overhead!I116/Table!G82)/S82))</f>
        <v>2.0040087165660032</v>
      </c>
      <c r="X82" s="61">
        <f t="shared" si="55"/>
        <v>1</v>
      </c>
      <c r="Y82" s="61">
        <f>IF(H82="Upland",0,(IF(I82="Mechanical",(T82*'DR-Mech'!$O$24+'DR-Mech'!$O$34)/S82,(T82*'DR-Hyd'!$O$24+'DR-Hyd'!$O$34)/S82)))</f>
        <v>0</v>
      </c>
      <c r="Z82" s="301">
        <f t="shared" si="56"/>
        <v>37.479046771209816</v>
      </c>
      <c r="AA82" s="301">
        <f t="shared" si="57"/>
        <v>43.100903786891287</v>
      </c>
      <c r="AB82" s="302" t="str">
        <f t="shared" si="58"/>
        <v>High</v>
      </c>
      <c r="AC82" s="303">
        <f t="shared" si="59"/>
        <v>5.5621556473829201E-2</v>
      </c>
      <c r="AD82" s="404">
        <f t="shared" si="60"/>
        <v>6190.0520144485263</v>
      </c>
      <c r="AE82" s="61">
        <f t="shared" si="61"/>
        <v>0.74958093542419635</v>
      </c>
      <c r="AF82" s="61">
        <f t="shared" si="62"/>
        <v>0.89949712250903557</v>
      </c>
      <c r="AG82" s="61">
        <f t="shared" si="63"/>
        <v>1.1243714031362944</v>
      </c>
      <c r="AH82" s="301">
        <f t="shared" si="64"/>
        <v>2.7734494610695259</v>
      </c>
      <c r="AI82" s="301">
        <f t="shared" si="65"/>
        <v>3.1894668802299546</v>
      </c>
      <c r="AJ82" s="310">
        <f t="shared" si="66"/>
        <v>40.252496232279341</v>
      </c>
      <c r="AK82" s="311">
        <f t="shared" si="67"/>
        <v>46.290370667121238</v>
      </c>
      <c r="AL82" s="42" t="s">
        <v>97</v>
      </c>
      <c r="AM82" s="14">
        <v>1365</v>
      </c>
      <c r="AN82" s="14"/>
      <c r="AO82" s="4">
        <v>71</v>
      </c>
      <c r="AP82" s="5">
        <f t="shared" si="46"/>
        <v>35.5</v>
      </c>
      <c r="AQ82" s="6" t="s">
        <v>96</v>
      </c>
      <c r="AR82" s="6" t="s">
        <v>98</v>
      </c>
      <c r="AS82" s="3" t="s">
        <v>8</v>
      </c>
      <c r="AT82" s="4">
        <v>-6.4</v>
      </c>
      <c r="AU82" s="3"/>
      <c r="AV82" s="4"/>
      <c r="AW82" s="4"/>
      <c r="AX82" s="4"/>
      <c r="AY82" s="4"/>
      <c r="AZ82" s="4"/>
      <c r="BA82" s="6"/>
      <c r="BB82" s="6" t="s">
        <v>99</v>
      </c>
      <c r="BC82" s="6" t="s">
        <v>91</v>
      </c>
      <c r="BD82" s="6" t="s">
        <v>100</v>
      </c>
      <c r="BE82" s="6" t="s">
        <v>27</v>
      </c>
      <c r="BF82" s="3" t="s">
        <v>27</v>
      </c>
      <c r="BG82" s="3" t="s">
        <v>28</v>
      </c>
      <c r="BH82" s="6"/>
      <c r="BI82" s="3"/>
      <c r="BJ82" s="3"/>
      <c r="BK82" s="7" t="s">
        <v>61</v>
      </c>
      <c r="BL82" t="s">
        <v>370</v>
      </c>
      <c r="BM82">
        <v>6</v>
      </c>
      <c r="BN82">
        <v>1</v>
      </c>
      <c r="BO82" t="s">
        <v>91</v>
      </c>
      <c r="BP82" t="s">
        <v>372</v>
      </c>
      <c r="BQ82" t="s">
        <v>373</v>
      </c>
      <c r="BR82" t="s">
        <v>219</v>
      </c>
      <c r="BS82"/>
    </row>
    <row r="83" spans="1:76" hidden="1" x14ac:dyDescent="0.25">
      <c r="B83" s="42" t="s">
        <v>101</v>
      </c>
      <c r="C83" t="s">
        <v>370</v>
      </c>
      <c r="D83" t="str">
        <f t="shared" si="47"/>
        <v>36-Private</v>
      </c>
      <c r="E83" t="s">
        <v>650</v>
      </c>
      <c r="F83">
        <v>6</v>
      </c>
      <c r="G83">
        <f t="shared" si="48"/>
        <v>21</v>
      </c>
      <c r="H83" s="248" t="s">
        <v>423</v>
      </c>
      <c r="I83" s="248" t="s">
        <v>427</v>
      </c>
      <c r="J83" s="248" t="s">
        <v>586</v>
      </c>
      <c r="K83" s="61">
        <f t="shared" si="49"/>
        <v>0.60259880636731533</v>
      </c>
      <c r="L83" s="60">
        <f>IF(I83="Mechanical",(('Mob-Mech'!$E$47+'Demob-Mech'!$E$42)/G83),(('Mob-Hyd'!$E$47+'Demob-Hyd'!$E$42)/G83))</f>
        <v>32123.33010272</v>
      </c>
      <c r="M83" s="56">
        <f t="shared" si="50"/>
        <v>-4.5985714285714296</v>
      </c>
      <c r="N83" s="56">
        <f t="shared" si="51"/>
        <v>4.5985714285714296</v>
      </c>
      <c r="O83" t="str">
        <f t="shared" si="52"/>
        <v>Averaged</v>
      </c>
      <c r="P83" s="58">
        <f t="shared" si="53"/>
        <v>11898.505029251704</v>
      </c>
      <c r="Q83" s="249">
        <v>1.1000000000000001</v>
      </c>
      <c r="R83" s="58">
        <f t="shared" si="54"/>
        <v>13088.355532176876</v>
      </c>
      <c r="S83" s="58">
        <f>R83*'PrismQC Vols'!$G$14</f>
        <v>883.66156732126524</v>
      </c>
      <c r="T83" s="282">
        <f>IF(I83="Mechanical",S83/Prod!$D$21,S83/Prod!$D$11)</f>
        <v>1.3465319121085946</v>
      </c>
      <c r="U83" s="61">
        <f>IF(I83="Hydraulic",(T83*('DR-Hyd'!$O$13+'DR-Hyd'!$O$18+'DR-Hyd'!$O$24)/S83),(T83*('DR-Mech'!$O$13+'DR-Mech'!$O$18+'DR-Mech'!$O$24)/S83))</f>
        <v>15.253427281310477</v>
      </c>
      <c r="V83" s="61">
        <f>IF(I83="Hydraulic",(T83*'DR-Hyd'!$O$34)/S83,(T83*'DR-Mech'!$O$34)/S83)+5</f>
        <v>19.221610773333332</v>
      </c>
      <c r="W83" s="61">
        <f>IF(I83="Hydraulic",(Overhead!$F$39/S83)+((Overhead!$D$39/Table!G83)/S83),(Overhead!$K$39/S83)+((Overhead!I117/Table!G83)/S83))</f>
        <v>1.9302261518934569</v>
      </c>
      <c r="X83" s="61">
        <f t="shared" si="55"/>
        <v>1</v>
      </c>
      <c r="Y83" s="61">
        <f>IF(H83="Upland",0,(IF(I83="Mechanical",(T83*'DR-Mech'!$O$24+'DR-Mech'!$O$34)/S83,(T83*'DR-Hyd'!$O$24+'DR-Hyd'!$O$34)/S83)))</f>
        <v>0</v>
      </c>
      <c r="Z83" s="301">
        <f t="shared" si="56"/>
        <v>37.405264206537268</v>
      </c>
      <c r="AA83" s="301">
        <f t="shared" si="57"/>
        <v>43.016053837517852</v>
      </c>
      <c r="AB83" s="302" t="str">
        <f t="shared" si="58"/>
        <v>High</v>
      </c>
      <c r="AC83" s="303">
        <f t="shared" si="59"/>
        <v>5.8193870523415979E-2</v>
      </c>
      <c r="AD83" s="404">
        <f t="shared" si="60"/>
        <v>6476.3215612550921</v>
      </c>
      <c r="AE83" s="61">
        <f t="shared" si="61"/>
        <v>0.7481052841307454</v>
      </c>
      <c r="AF83" s="61">
        <f t="shared" si="62"/>
        <v>0.89772634095689441</v>
      </c>
      <c r="AG83" s="61">
        <f t="shared" si="63"/>
        <v>1.1221579261961181</v>
      </c>
      <c r="AH83" s="301">
        <f t="shared" si="64"/>
        <v>2.7679895512837578</v>
      </c>
      <c r="AI83" s="301">
        <f t="shared" si="65"/>
        <v>3.1831879839763211</v>
      </c>
      <c r="AJ83" s="310">
        <f t="shared" si="66"/>
        <v>40.173253757821023</v>
      </c>
      <c r="AK83" s="311">
        <f t="shared" si="67"/>
        <v>46.199241821494169</v>
      </c>
      <c r="AL83" s="42" t="s">
        <v>101</v>
      </c>
      <c r="AM83" s="14">
        <v>1389</v>
      </c>
      <c r="AN83" s="14"/>
      <c r="AO83" s="4">
        <v>73</v>
      </c>
      <c r="AP83" s="5">
        <f t="shared" si="46"/>
        <v>36.5</v>
      </c>
      <c r="AQ83" s="6" t="s">
        <v>98</v>
      </c>
      <c r="AR83" s="6" t="s">
        <v>102</v>
      </c>
      <c r="AS83" s="3" t="s">
        <v>8</v>
      </c>
      <c r="AT83" s="4">
        <v>-6.4</v>
      </c>
      <c r="AU83" s="3"/>
      <c r="AV83" s="4"/>
      <c r="AW83" s="4"/>
      <c r="AX83" s="4"/>
      <c r="AY83" s="4"/>
      <c r="AZ83" s="4"/>
      <c r="BA83" s="6"/>
      <c r="BB83" s="6"/>
      <c r="BC83" s="6" t="s">
        <v>91</v>
      </c>
      <c r="BD83" s="6" t="s">
        <v>103</v>
      </c>
      <c r="BE83" s="6" t="s">
        <v>27</v>
      </c>
      <c r="BF83" s="3"/>
      <c r="BG83" s="3" t="s">
        <v>28</v>
      </c>
      <c r="BH83" s="6"/>
      <c r="BI83" s="3"/>
      <c r="BJ83" s="3"/>
      <c r="BK83" s="7" t="s">
        <v>61</v>
      </c>
      <c r="BL83" t="s">
        <v>370</v>
      </c>
      <c r="BM83">
        <v>6</v>
      </c>
      <c r="BN83">
        <v>1</v>
      </c>
      <c r="BO83" t="s">
        <v>91</v>
      </c>
      <c r="BP83" t="s">
        <v>372</v>
      </c>
      <c r="BQ83" t="s">
        <v>373</v>
      </c>
      <c r="BR83" t="s">
        <v>219</v>
      </c>
      <c r="BS83"/>
    </row>
    <row r="84" spans="1:76" hidden="1" x14ac:dyDescent="0.25">
      <c r="B84" s="42" t="s">
        <v>104</v>
      </c>
      <c r="C84" t="s">
        <v>370</v>
      </c>
      <c r="D84" t="str">
        <f t="shared" si="47"/>
        <v>37-Private</v>
      </c>
      <c r="E84" t="s">
        <v>650</v>
      </c>
      <c r="F84">
        <v>6</v>
      </c>
      <c r="G84">
        <f t="shared" si="48"/>
        <v>21</v>
      </c>
      <c r="H84" s="248" t="s">
        <v>423</v>
      </c>
      <c r="I84" s="248" t="s">
        <v>427</v>
      </c>
      <c r="J84" s="248" t="s">
        <v>586</v>
      </c>
      <c r="K84" s="61">
        <f t="shared" si="49"/>
        <v>0.60226870217047002</v>
      </c>
      <c r="L84" s="60">
        <f>IF(I84="Mechanical",(('Mob-Mech'!$E$47+'Demob-Mech'!$E$42)/G84),(('Mob-Hyd'!$E$47+'Demob-Hyd'!$E$42)/G84))</f>
        <v>32123.33010272</v>
      </c>
      <c r="M84" s="56">
        <f t="shared" si="50"/>
        <v>-4.5985714285714296</v>
      </c>
      <c r="N84" s="56">
        <f t="shared" si="51"/>
        <v>4.5985714285714296</v>
      </c>
      <c r="O84" t="str">
        <f t="shared" si="52"/>
        <v>Averaged</v>
      </c>
      <c r="P84" s="58">
        <f t="shared" si="53"/>
        <v>12026.170861224493</v>
      </c>
      <c r="Q84" s="249">
        <v>1.1000000000000001</v>
      </c>
      <c r="R84" s="58">
        <f t="shared" si="54"/>
        <v>13228.787947346944</v>
      </c>
      <c r="S84" s="58">
        <f>R84*'PrismQC Vols'!$G$14</f>
        <v>893.14287517440334</v>
      </c>
      <c r="T84" s="282">
        <f>IF(I84="Mechanical",S84/Prod!$D$21,S84/Prod!$D$11)</f>
        <v>1.3609796193133765</v>
      </c>
      <c r="U84" s="61">
        <f>IF(I84="Hydraulic",(T84*('DR-Hyd'!$O$13+'DR-Hyd'!$O$18+'DR-Hyd'!$O$24)/S84),(T84*('DR-Mech'!$O$13+'DR-Mech'!$O$18+'DR-Mech'!$O$24)/S84))</f>
        <v>15.253427281310476</v>
      </c>
      <c r="V84" s="61">
        <f>IF(I84="Hydraulic",(T84*'DR-Hyd'!$O$34)/S84,(T84*'DR-Mech'!$O$34)/S84)+5</f>
        <v>19.221610773333332</v>
      </c>
      <c r="W84" s="61">
        <f>IF(I84="Hydraulic",(Overhead!$F$39/S84)+((Overhead!$D$39/Table!G84)/S84),(Overhead!$K$39/S84)+((Overhead!I118/Table!G84)/S84))</f>
        <v>1.9097355127348494</v>
      </c>
      <c r="X84" s="61">
        <f t="shared" si="55"/>
        <v>1</v>
      </c>
      <c r="Y84" s="61">
        <f>IF(H84="Upland",0,(IF(I84="Mechanical",(T84*'DR-Mech'!$O$24+'DR-Mech'!$O$34)/S84,(T84*'DR-Hyd'!$O$24+'DR-Hyd'!$O$34)/S84)))</f>
        <v>0</v>
      </c>
      <c r="Z84" s="301">
        <f t="shared" si="56"/>
        <v>37.384773567378652</v>
      </c>
      <c r="AA84" s="301">
        <f t="shared" si="57"/>
        <v>42.992489602485449</v>
      </c>
      <c r="AB84" s="302" t="str">
        <f t="shared" si="58"/>
        <v>High</v>
      </c>
      <c r="AC84" s="303">
        <f t="shared" si="59"/>
        <v>5.8595041322314051E-2</v>
      </c>
      <c r="AD84" s="404">
        <f t="shared" si="60"/>
        <v>6520.9673473367047</v>
      </c>
      <c r="AE84" s="61">
        <f t="shared" si="61"/>
        <v>0.74769547134757308</v>
      </c>
      <c r="AF84" s="61">
        <f t="shared" si="62"/>
        <v>0.8972345656170877</v>
      </c>
      <c r="AG84" s="61">
        <f t="shared" si="63"/>
        <v>1.1215432070213596</v>
      </c>
      <c r="AH84" s="301">
        <f t="shared" si="64"/>
        <v>2.7664732439860202</v>
      </c>
      <c r="AI84" s="301">
        <f t="shared" si="65"/>
        <v>3.181444230583923</v>
      </c>
      <c r="AJ84" s="310">
        <f t="shared" si="66"/>
        <v>40.151246811364672</v>
      </c>
      <c r="AK84" s="311">
        <f t="shared" si="67"/>
        <v>46.17393383306937</v>
      </c>
      <c r="AL84" s="42" t="s">
        <v>104</v>
      </c>
      <c r="AM84" s="14">
        <v>1418</v>
      </c>
      <c r="AN84" s="14"/>
      <c r="AO84" s="4">
        <v>72</v>
      </c>
      <c r="AP84" s="5">
        <f t="shared" si="46"/>
        <v>36</v>
      </c>
      <c r="AQ84" s="6" t="s">
        <v>102</v>
      </c>
      <c r="AR84" s="6" t="s">
        <v>105</v>
      </c>
      <c r="AS84" s="3" t="s">
        <v>8</v>
      </c>
      <c r="AT84" s="4">
        <v>-6.4</v>
      </c>
      <c r="AU84" s="3"/>
      <c r="AV84" s="4"/>
      <c r="AW84" s="4"/>
      <c r="AX84" s="4"/>
      <c r="AY84" s="4"/>
      <c r="AZ84" s="4"/>
      <c r="BA84" s="6"/>
      <c r="BB84" s="6"/>
      <c r="BC84" s="6" t="s">
        <v>91</v>
      </c>
      <c r="BD84" s="6" t="s">
        <v>19</v>
      </c>
      <c r="BE84" s="6" t="s">
        <v>27</v>
      </c>
      <c r="BF84" s="3"/>
      <c r="BG84" s="3" t="s">
        <v>28</v>
      </c>
      <c r="BH84" s="6"/>
      <c r="BI84" s="3"/>
      <c r="BJ84" s="3"/>
      <c r="BK84" s="7" t="s">
        <v>61</v>
      </c>
      <c r="BL84" t="s">
        <v>370</v>
      </c>
      <c r="BM84">
        <v>6</v>
      </c>
      <c r="BN84">
        <v>1</v>
      </c>
      <c r="BO84" t="s">
        <v>91</v>
      </c>
      <c r="BP84" t="s">
        <v>372</v>
      </c>
      <c r="BQ84" t="s">
        <v>373</v>
      </c>
      <c r="BR84" t="s">
        <v>219</v>
      </c>
      <c r="BS84"/>
    </row>
    <row r="85" spans="1:76" ht="30" hidden="1" x14ac:dyDescent="0.25">
      <c r="B85" s="42" t="s">
        <v>106</v>
      </c>
      <c r="C85" t="s">
        <v>370</v>
      </c>
      <c r="D85" t="str">
        <f t="shared" si="47"/>
        <v>38-Private</v>
      </c>
      <c r="E85" t="s">
        <v>650</v>
      </c>
      <c r="F85">
        <v>6</v>
      </c>
      <c r="G85">
        <f t="shared" si="48"/>
        <v>21</v>
      </c>
      <c r="H85" s="248" t="s">
        <v>423</v>
      </c>
      <c r="I85" s="248" t="s">
        <v>427</v>
      </c>
      <c r="J85" s="248" t="s">
        <v>586</v>
      </c>
      <c r="K85" s="61">
        <f t="shared" si="49"/>
        <v>0.60216402901279609</v>
      </c>
      <c r="L85" s="60">
        <f>IF(I85="Mechanical",(('Mob-Mech'!$E$47+'Demob-Mech'!$E$42)/G85),(('Mob-Hyd'!$E$47+'Demob-Hyd'!$E$42)/G85))</f>
        <v>32123.33010272</v>
      </c>
      <c r="M85" s="56">
        <f t="shared" si="50"/>
        <v>-4.5985714285714296</v>
      </c>
      <c r="N85" s="56">
        <f t="shared" si="51"/>
        <v>4.5985714285714296</v>
      </c>
      <c r="O85" t="str">
        <f t="shared" si="52"/>
        <v>Averaged</v>
      </c>
      <c r="P85" s="58">
        <f t="shared" si="53"/>
        <v>12067.22661496599</v>
      </c>
      <c r="Q85" s="249">
        <v>1.1000000000000001</v>
      </c>
      <c r="R85" s="58">
        <f t="shared" si="54"/>
        <v>13273.94927646259</v>
      </c>
      <c r="S85" s="58">
        <f>R85*'PrismQC Vols'!$G$14</f>
        <v>896.19194660056792</v>
      </c>
      <c r="T85" s="282">
        <f>IF(I85="Mechanical",S85/Prod!$D$21,S85/Prod!$D$11)</f>
        <v>1.3656258233913416</v>
      </c>
      <c r="U85" s="61">
        <f>IF(I85="Hydraulic",(T85*('DR-Hyd'!$O$13+'DR-Hyd'!$O$18+'DR-Hyd'!$O$24)/S85),(T85*('DR-Mech'!$O$13+'DR-Mech'!$O$18+'DR-Mech'!$O$24)/S85))</f>
        <v>15.253427281310477</v>
      </c>
      <c r="V85" s="61">
        <f>IF(I85="Hydraulic",(T85*'DR-Hyd'!$O$34)/S85,(T85*'DR-Mech'!$O$34)/S85)+5</f>
        <v>19.221610773333335</v>
      </c>
      <c r="W85" s="61">
        <f>IF(I85="Hydraulic",(Overhead!$F$39/S85)+((Overhead!$D$39/Table!G85)/S85),(Overhead!$K$39/S85)+((Overhead!I119/Table!G85)/S85))</f>
        <v>1.9032381100238576</v>
      </c>
      <c r="X85" s="61">
        <f t="shared" si="55"/>
        <v>1</v>
      </c>
      <c r="Y85" s="61">
        <f>IF(H85="Upland",0,(IF(I85="Mechanical",(T85*'DR-Mech'!$O$24+'DR-Mech'!$O$34)/S85,(T85*'DR-Hyd'!$O$24+'DR-Hyd'!$O$34)/S85)))</f>
        <v>0</v>
      </c>
      <c r="Z85" s="301">
        <f t="shared" si="56"/>
        <v>37.378276164667668</v>
      </c>
      <c r="AA85" s="301">
        <f t="shared" si="57"/>
        <v>42.985017589367814</v>
      </c>
      <c r="AB85" s="302" t="str">
        <f t="shared" si="58"/>
        <v>High</v>
      </c>
      <c r="AC85" s="303">
        <f t="shared" si="59"/>
        <v>5.8333333333333334E-2</v>
      </c>
      <c r="AD85" s="404">
        <f t="shared" si="60"/>
        <v>6491.8421993349657</v>
      </c>
      <c r="AE85" s="61">
        <f t="shared" si="61"/>
        <v>0.74756552329335335</v>
      </c>
      <c r="AF85" s="61">
        <f t="shared" si="62"/>
        <v>0.89707862795202409</v>
      </c>
      <c r="AG85" s="61">
        <f t="shared" si="63"/>
        <v>1.12134828494003</v>
      </c>
      <c r="AH85" s="301">
        <f t="shared" si="64"/>
        <v>2.7659924361854076</v>
      </c>
      <c r="AI85" s="301">
        <f t="shared" si="65"/>
        <v>3.1808913016132183</v>
      </c>
      <c r="AJ85" s="310">
        <f t="shared" si="66"/>
        <v>40.144268600853074</v>
      </c>
      <c r="AK85" s="311">
        <f t="shared" si="67"/>
        <v>46.165908890981029</v>
      </c>
      <c r="AL85" s="42" t="s">
        <v>106</v>
      </c>
      <c r="AM85" s="14">
        <v>1452</v>
      </c>
      <c r="AN85" s="14"/>
      <c r="AO85" s="4">
        <v>70</v>
      </c>
      <c r="AP85" s="5">
        <f t="shared" si="46"/>
        <v>35</v>
      </c>
      <c r="AQ85" s="6" t="s">
        <v>105</v>
      </c>
      <c r="AR85" s="6" t="s">
        <v>107</v>
      </c>
      <c r="AS85" s="3" t="s">
        <v>8</v>
      </c>
      <c r="AT85" s="4">
        <v>-6.4</v>
      </c>
      <c r="AU85" s="3"/>
      <c r="AV85" s="4"/>
      <c r="AW85" s="4"/>
      <c r="AX85" s="4"/>
      <c r="AY85" s="4"/>
      <c r="AZ85" s="4"/>
      <c r="BA85" s="6"/>
      <c r="BB85" s="6" t="s">
        <v>108</v>
      </c>
      <c r="BC85" s="6" t="s">
        <v>91</v>
      </c>
      <c r="BD85" s="6" t="s">
        <v>109</v>
      </c>
      <c r="BE85" s="6" t="s">
        <v>79</v>
      </c>
      <c r="BF85" s="3" t="s">
        <v>27</v>
      </c>
      <c r="BG85" s="3" t="s">
        <v>28</v>
      </c>
      <c r="BH85" s="6"/>
      <c r="BI85" s="3"/>
      <c r="BJ85" s="3"/>
      <c r="BK85" s="7" t="s">
        <v>61</v>
      </c>
      <c r="BL85" t="s">
        <v>370</v>
      </c>
      <c r="BM85">
        <v>6</v>
      </c>
      <c r="BN85">
        <v>1</v>
      </c>
      <c r="BO85" t="s">
        <v>91</v>
      </c>
      <c r="BP85" t="s">
        <v>372</v>
      </c>
      <c r="BQ85" t="s">
        <v>373</v>
      </c>
      <c r="BR85" t="s">
        <v>219</v>
      </c>
      <c r="BS85"/>
    </row>
    <row r="86" spans="1:76" hidden="1" x14ac:dyDescent="0.25">
      <c r="B86" s="42" t="s">
        <v>110</v>
      </c>
      <c r="C86" t="s">
        <v>370</v>
      </c>
      <c r="D86" t="str">
        <f t="shared" si="47"/>
        <v>39-Private</v>
      </c>
      <c r="E86" t="s">
        <v>650</v>
      </c>
      <c r="F86">
        <v>6</v>
      </c>
      <c r="G86">
        <f t="shared" si="48"/>
        <v>21</v>
      </c>
      <c r="H86" s="248" t="s">
        <v>423</v>
      </c>
      <c r="I86" s="248" t="s">
        <v>427</v>
      </c>
      <c r="J86" s="248" t="s">
        <v>586</v>
      </c>
      <c r="K86" s="61">
        <f t="shared" si="49"/>
        <v>0.60198675139149327</v>
      </c>
      <c r="L86" s="60">
        <f>IF(I86="Mechanical",(('Mob-Mech'!$E$47+'Demob-Mech'!$E$42)/G86),(('Mob-Hyd'!$E$47+'Demob-Hyd'!$E$42)/G86))</f>
        <v>32123.33010272</v>
      </c>
      <c r="M86" s="56">
        <f t="shared" si="50"/>
        <v>-4.5985714285714296</v>
      </c>
      <c r="N86" s="56">
        <f t="shared" si="51"/>
        <v>4.5985714285714296</v>
      </c>
      <c r="O86" t="str">
        <f t="shared" si="52"/>
        <v>Averaged</v>
      </c>
      <c r="P86" s="58">
        <f t="shared" si="53"/>
        <v>12137.403004761909</v>
      </c>
      <c r="Q86" s="249">
        <v>1.1000000000000001</v>
      </c>
      <c r="R86" s="58">
        <f t="shared" si="54"/>
        <v>13351.143305238102</v>
      </c>
      <c r="S86" s="58">
        <f>R86*'PrismQC Vols'!$G$14</f>
        <v>901.40370878779709</v>
      </c>
      <c r="T86" s="282">
        <f>IF(I86="Mechanical",S86/Prod!$D$21,S86/Prod!$D$11)</f>
        <v>1.3735675562480718</v>
      </c>
      <c r="U86" s="61">
        <f>IF(I86="Hydraulic",(T86*('DR-Hyd'!$O$13+'DR-Hyd'!$O$18+'DR-Hyd'!$O$24)/S86),(T86*('DR-Mech'!$O$13+'DR-Mech'!$O$18+'DR-Mech'!$O$24)/S86))</f>
        <v>15.253427281310477</v>
      </c>
      <c r="V86" s="61">
        <f>IF(I86="Hydraulic",(T86*'DR-Hyd'!$O$34)/S86,(T86*'DR-Mech'!$O$34)/S86)+5</f>
        <v>19.221610773333335</v>
      </c>
      <c r="W86" s="61">
        <f>IF(I86="Hydraulic",(Overhead!$F$39/S86)+((Overhead!$D$39/Table!G86)/S86),(Overhead!$K$39/S86)+((Overhead!I120/Table!G86)/S86))</f>
        <v>1.8922339125500585</v>
      </c>
      <c r="X86" s="61">
        <f t="shared" si="55"/>
        <v>1</v>
      </c>
      <c r="Y86" s="61">
        <f>IF(H86="Upland",0,(IF(I86="Mechanical",(T86*'DR-Mech'!$O$24+'DR-Mech'!$O$34)/S86,(T86*'DR-Hyd'!$O$24+'DR-Hyd'!$O$34)/S86)))</f>
        <v>0</v>
      </c>
      <c r="Z86" s="301">
        <f t="shared" si="56"/>
        <v>37.367271967193872</v>
      </c>
      <c r="AA86" s="301">
        <f t="shared" si="57"/>
        <v>42.972362762272951</v>
      </c>
      <c r="AB86" s="302" t="str">
        <f t="shared" si="58"/>
        <v>High</v>
      </c>
      <c r="AC86" s="303">
        <f t="shared" si="59"/>
        <v>5.8188705234159789E-2</v>
      </c>
      <c r="AD86" s="404">
        <f t="shared" si="60"/>
        <v>6475.7467228076903</v>
      </c>
      <c r="AE86" s="61">
        <f t="shared" si="61"/>
        <v>0.74734543934387743</v>
      </c>
      <c r="AF86" s="61">
        <f t="shared" si="62"/>
        <v>0.89681452721265298</v>
      </c>
      <c r="AG86" s="61">
        <f t="shared" si="63"/>
        <v>1.1210181590158161</v>
      </c>
      <c r="AH86" s="301">
        <f t="shared" si="64"/>
        <v>2.7651781255723469</v>
      </c>
      <c r="AI86" s="301">
        <f t="shared" si="65"/>
        <v>3.1799548444081989</v>
      </c>
      <c r="AJ86" s="310">
        <f t="shared" si="66"/>
        <v>40.13245009276622</v>
      </c>
      <c r="AK86" s="311">
        <f t="shared" si="67"/>
        <v>46.152317606681152</v>
      </c>
      <c r="AL86" s="42" t="s">
        <v>110</v>
      </c>
      <c r="AM86" s="14">
        <v>1491</v>
      </c>
      <c r="AN86" s="14"/>
      <c r="AO86" s="4">
        <v>68</v>
      </c>
      <c r="AP86" s="5">
        <f t="shared" si="46"/>
        <v>34</v>
      </c>
      <c r="AQ86" s="6" t="s">
        <v>107</v>
      </c>
      <c r="AR86" s="6" t="s">
        <v>111</v>
      </c>
      <c r="AS86" s="3" t="s">
        <v>8</v>
      </c>
      <c r="AT86" s="4">
        <v>-5.4</v>
      </c>
      <c r="AU86" s="3"/>
      <c r="AV86" s="4"/>
      <c r="AW86" s="4"/>
      <c r="AX86" s="4"/>
      <c r="AY86" s="4"/>
      <c r="AZ86" s="4"/>
      <c r="BA86" s="6"/>
      <c r="BB86" s="6"/>
      <c r="BC86" s="6" t="s">
        <v>91</v>
      </c>
      <c r="BD86" s="6" t="s">
        <v>112</v>
      </c>
      <c r="BE86" s="6" t="s">
        <v>27</v>
      </c>
      <c r="BF86" s="3"/>
      <c r="BG86" s="3" t="s">
        <v>28</v>
      </c>
      <c r="BH86" s="6"/>
      <c r="BI86" s="3"/>
      <c r="BJ86" s="3"/>
      <c r="BK86" s="7" t="s">
        <v>61</v>
      </c>
      <c r="BL86" t="s">
        <v>370</v>
      </c>
      <c r="BM86">
        <v>6</v>
      </c>
      <c r="BN86">
        <v>1</v>
      </c>
      <c r="BO86" t="s">
        <v>91</v>
      </c>
      <c r="BP86" t="s">
        <v>372</v>
      </c>
      <c r="BQ86" t="s">
        <v>373</v>
      </c>
      <c r="BR86" t="s">
        <v>219</v>
      </c>
      <c r="BS86"/>
    </row>
    <row r="87" spans="1:76" s="22" customFormat="1" ht="45" hidden="1" x14ac:dyDescent="0.25">
      <c r="A87" s="24"/>
      <c r="B87" s="42" t="s">
        <v>113</v>
      </c>
      <c r="C87" t="s">
        <v>370</v>
      </c>
      <c r="D87" t="str">
        <f t="shared" si="47"/>
        <v>40-Private</v>
      </c>
      <c r="E87" t="s">
        <v>650</v>
      </c>
      <c r="F87">
        <v>6</v>
      </c>
      <c r="G87">
        <f t="shared" si="48"/>
        <v>21</v>
      </c>
      <c r="H87" s="248" t="s">
        <v>423</v>
      </c>
      <c r="I87" s="248" t="s">
        <v>427</v>
      </c>
      <c r="J87" s="248" t="s">
        <v>586</v>
      </c>
      <c r="K87" s="61">
        <f t="shared" si="49"/>
        <v>0.60176541316659271</v>
      </c>
      <c r="L87" s="60">
        <f>IF(I87="Mechanical",(('Mob-Mech'!$E$47+'Demob-Mech'!$E$42)/G87),(('Mob-Hyd'!$E$47+'Demob-Hyd'!$E$42)/G87))</f>
        <v>32123.33010272</v>
      </c>
      <c r="M87" s="56">
        <f t="shared" si="50"/>
        <v>-4.5985714285714296</v>
      </c>
      <c r="N87" s="56">
        <f t="shared" si="51"/>
        <v>4.5985714285714296</v>
      </c>
      <c r="O87" t="str">
        <f t="shared" si="52"/>
        <v>Averaged</v>
      </c>
      <c r="P87" s="58">
        <f t="shared" si="53"/>
        <v>12226.1751414966</v>
      </c>
      <c r="Q87" s="249">
        <v>1.1000000000000001</v>
      </c>
      <c r="R87" s="58">
        <f t="shared" si="54"/>
        <v>13448.792655646261</v>
      </c>
      <c r="S87" s="58">
        <f>R87*'PrismQC Vols'!$G$14</f>
        <v>907.99651395857973</v>
      </c>
      <c r="T87" s="282">
        <f>IF(I87="Mechanical",S87/Prod!$D$21,S87/Prod!$D$11)</f>
        <v>1.383613735555931</v>
      </c>
      <c r="U87" s="61">
        <f>IF(I87="Hydraulic",(T87*('DR-Hyd'!$O$13+'DR-Hyd'!$O$18+'DR-Hyd'!$O$24)/S87),(T87*('DR-Mech'!$O$13+'DR-Mech'!$O$18+'DR-Mech'!$O$24)/S87))</f>
        <v>15.253427281310477</v>
      </c>
      <c r="V87" s="61">
        <f>IF(I87="Hydraulic",(T87*'DR-Hyd'!$O$34)/S87,(T87*'DR-Mech'!$O$34)/S87)+5</f>
        <v>19.221610773333332</v>
      </c>
      <c r="W87" s="61">
        <f>IF(I87="Hydraulic",(Overhead!$F$39/S87)+((Overhead!$D$39/Table!G87)/S87),(Overhead!$K$39/S87)+((Overhead!I121/Table!G87)/S87))</f>
        <v>1.8784947303712605</v>
      </c>
      <c r="X87" s="61">
        <f t="shared" si="55"/>
        <v>1</v>
      </c>
      <c r="Y87" s="61">
        <f>IF(H87="Upland",0,(IF(I87="Mechanical",(T87*'DR-Mech'!$O$24+'DR-Mech'!$O$34)/S87,(T87*'DR-Hyd'!$O$24+'DR-Hyd'!$O$34)/S87)))</f>
        <v>0</v>
      </c>
      <c r="Z87" s="301">
        <f t="shared" si="56"/>
        <v>37.353532785015069</v>
      </c>
      <c r="AA87" s="301">
        <f t="shared" si="57"/>
        <v>42.956562702767329</v>
      </c>
      <c r="AB87" s="302" t="str">
        <f t="shared" si="58"/>
        <v>High</v>
      </c>
      <c r="AC87" s="303">
        <f t="shared" si="59"/>
        <v>5.8106060606060612E-2</v>
      </c>
      <c r="AD87" s="404">
        <f t="shared" si="60"/>
        <v>6466.5493076492457</v>
      </c>
      <c r="AE87" s="61">
        <f t="shared" si="61"/>
        <v>0.7470706557003014</v>
      </c>
      <c r="AF87" s="61">
        <f t="shared" si="62"/>
        <v>0.8964847868403617</v>
      </c>
      <c r="AG87" s="61">
        <f t="shared" si="63"/>
        <v>1.120605983550452</v>
      </c>
      <c r="AH87" s="301">
        <f t="shared" si="64"/>
        <v>2.7641614260911149</v>
      </c>
      <c r="AI87" s="301">
        <f t="shared" si="65"/>
        <v>3.178785640004782</v>
      </c>
      <c r="AJ87" s="310">
        <f t="shared" si="66"/>
        <v>40.117694211106183</v>
      </c>
      <c r="AK87" s="311">
        <f t="shared" si="67"/>
        <v>46.135348342772105</v>
      </c>
      <c r="AL87" s="42" t="s">
        <v>113</v>
      </c>
      <c r="AM87" s="14">
        <v>1534</v>
      </c>
      <c r="AN87" s="14"/>
      <c r="AO87" s="4">
        <v>66</v>
      </c>
      <c r="AP87" s="5">
        <f t="shared" si="46"/>
        <v>33</v>
      </c>
      <c r="AQ87" s="6" t="s">
        <v>111</v>
      </c>
      <c r="AR87" s="6" t="s">
        <v>114</v>
      </c>
      <c r="AS87" s="3" t="s">
        <v>8</v>
      </c>
      <c r="AT87" s="4">
        <v>-5.4</v>
      </c>
      <c r="AU87" s="3"/>
      <c r="AV87" s="4"/>
      <c r="AW87" s="4"/>
      <c r="AX87" s="4"/>
      <c r="AY87" s="4"/>
      <c r="AZ87" s="4"/>
      <c r="BA87" s="6"/>
      <c r="BB87" s="6"/>
      <c r="BC87" s="6" t="s">
        <v>115</v>
      </c>
      <c r="BD87" s="6" t="s">
        <v>19</v>
      </c>
      <c r="BE87" s="6" t="s">
        <v>116</v>
      </c>
      <c r="BF87" s="3"/>
      <c r="BG87" s="3" t="s">
        <v>28</v>
      </c>
      <c r="BH87" s="6"/>
      <c r="BI87" s="3"/>
      <c r="BJ87" s="3"/>
      <c r="BK87" s="7" t="s">
        <v>61</v>
      </c>
      <c r="BL87" t="s">
        <v>370</v>
      </c>
      <c r="BM87">
        <v>6</v>
      </c>
      <c r="BN87">
        <v>1</v>
      </c>
      <c r="BO87" t="s">
        <v>91</v>
      </c>
      <c r="BP87" t="s">
        <v>372</v>
      </c>
      <c r="BQ87" t="s">
        <v>373</v>
      </c>
      <c r="BR87" t="s">
        <v>219</v>
      </c>
      <c r="BS87"/>
      <c r="BT87" s="1"/>
      <c r="BU87" s="1"/>
      <c r="BV87" s="1"/>
      <c r="BW87" s="1"/>
      <c r="BX87" s="1"/>
    </row>
    <row r="88" spans="1:76" hidden="1" x14ac:dyDescent="0.25">
      <c r="B88" s="42" t="s">
        <v>117</v>
      </c>
      <c r="C88" t="s">
        <v>370</v>
      </c>
      <c r="D88" t="str">
        <f t="shared" si="47"/>
        <v>41-Private</v>
      </c>
      <c r="E88" t="s">
        <v>650</v>
      </c>
      <c r="F88">
        <v>6</v>
      </c>
      <c r="G88">
        <f t="shared" si="48"/>
        <v>21</v>
      </c>
      <c r="H88" s="248" t="s">
        <v>423</v>
      </c>
      <c r="I88" s="248" t="s">
        <v>427</v>
      </c>
      <c r="J88" s="248" t="s">
        <v>586</v>
      </c>
      <c r="K88" s="61">
        <f t="shared" si="49"/>
        <v>0.60092993745302936</v>
      </c>
      <c r="L88" s="60">
        <f>IF(I88="Mechanical",(('Mob-Mech'!$E$47+'Demob-Mech'!$E$42)/G88),(('Mob-Hyd'!$E$47+'Demob-Hyd'!$E$42)/G88))</f>
        <v>32123.33010272</v>
      </c>
      <c r="M88" s="56">
        <f t="shared" si="50"/>
        <v>-4.5985714285714296</v>
      </c>
      <c r="N88" s="56">
        <f t="shared" si="51"/>
        <v>4.5985714285714296</v>
      </c>
      <c r="O88" t="str">
        <f t="shared" si="52"/>
        <v>Averaged</v>
      </c>
      <c r="P88" s="58">
        <f t="shared" si="53"/>
        <v>12573.293317913836</v>
      </c>
      <c r="Q88" s="249">
        <v>1.1000000000000001</v>
      </c>
      <c r="R88" s="58">
        <f t="shared" si="54"/>
        <v>13830.622649705221</v>
      </c>
      <c r="S88" s="58">
        <f>R88*'PrismQC Vols'!$G$14</f>
        <v>933.77580228635429</v>
      </c>
      <c r="T88" s="282">
        <f>IF(I88="Mechanical",S88/Prod!$D$21,S88/Prod!$D$11)</f>
        <v>1.4228964606268255</v>
      </c>
      <c r="U88" s="61">
        <f>IF(I88="Hydraulic",(T88*('DR-Hyd'!$O$13+'DR-Hyd'!$O$18+'DR-Hyd'!$O$24)/S88),(T88*('DR-Mech'!$O$13+'DR-Mech'!$O$18+'DR-Mech'!$O$24)/S88))</f>
        <v>15.253427281310477</v>
      </c>
      <c r="V88" s="61">
        <f>IF(I88="Hydraulic",(T88*'DR-Hyd'!$O$34)/S88,(T88*'DR-Mech'!$O$34)/S88)+5</f>
        <v>19.221610773333332</v>
      </c>
      <c r="W88" s="61">
        <f>IF(I88="Hydraulic",(Overhead!$F$39/S88)+((Overhead!$D$39/Table!G88)/S88),(Overhead!$K$39/S88)+((Overhead!I122/Table!G88)/S88))</f>
        <v>1.8266340405162933</v>
      </c>
      <c r="X88" s="61">
        <f t="shared" si="55"/>
        <v>1</v>
      </c>
      <c r="Y88" s="61">
        <f>IF(H88="Upland",0,(IF(I88="Mechanical",(T88*'DR-Mech'!$O$24+'DR-Mech'!$O$34)/S88,(T88*'DR-Hyd'!$O$24+'DR-Hyd'!$O$34)/S88)))</f>
        <v>0</v>
      </c>
      <c r="Z88" s="301">
        <f t="shared" si="56"/>
        <v>37.301672095160107</v>
      </c>
      <c r="AA88" s="301">
        <f t="shared" si="57"/>
        <v>42.896922909434117</v>
      </c>
      <c r="AB88" s="302" t="str">
        <f t="shared" si="58"/>
        <v>High</v>
      </c>
      <c r="AC88" s="303">
        <f t="shared" si="59"/>
        <v>5.9210284664830123E-2</v>
      </c>
      <c r="AD88" s="404">
        <f t="shared" si="60"/>
        <v>6589.4369935162313</v>
      </c>
      <c r="AE88" s="61">
        <f t="shared" si="61"/>
        <v>0.7460334419032022</v>
      </c>
      <c r="AF88" s="61">
        <f t="shared" si="62"/>
        <v>0.89524013028384264</v>
      </c>
      <c r="AG88" s="61">
        <f t="shared" si="63"/>
        <v>1.1190501628548031</v>
      </c>
      <c r="AH88" s="301">
        <f t="shared" si="64"/>
        <v>2.7603237350418479</v>
      </c>
      <c r="AI88" s="301">
        <f t="shared" si="65"/>
        <v>3.174372295298125</v>
      </c>
      <c r="AJ88" s="310">
        <f t="shared" si="66"/>
        <v>40.061995830201958</v>
      </c>
      <c r="AK88" s="311">
        <f t="shared" si="67"/>
        <v>46.071295204732252</v>
      </c>
      <c r="AL88" s="42" t="s">
        <v>117</v>
      </c>
      <c r="AM88" s="14">
        <v>1612</v>
      </c>
      <c r="AN88" s="14"/>
      <c r="AO88" s="4">
        <v>64</v>
      </c>
      <c r="AP88" s="5">
        <f t="shared" si="46"/>
        <v>32</v>
      </c>
      <c r="AQ88" s="6" t="s">
        <v>114</v>
      </c>
      <c r="AR88" s="6" t="s">
        <v>118</v>
      </c>
      <c r="AS88" s="3" t="s">
        <v>8</v>
      </c>
      <c r="AT88" s="4">
        <v>-5.4</v>
      </c>
      <c r="AU88" s="3"/>
      <c r="AV88" s="4"/>
      <c r="AW88" s="4"/>
      <c r="AX88" s="4"/>
      <c r="AY88" s="4"/>
      <c r="AZ88" s="4"/>
      <c r="BA88" s="6" t="s">
        <v>9</v>
      </c>
      <c r="BB88" s="6"/>
      <c r="BC88" s="6" t="s">
        <v>119</v>
      </c>
      <c r="BD88" s="6" t="s">
        <v>65</v>
      </c>
      <c r="BE88" s="6" t="s">
        <v>27</v>
      </c>
      <c r="BF88" s="3"/>
      <c r="BG88" s="3" t="s">
        <v>28</v>
      </c>
      <c r="BH88" s="6"/>
      <c r="BI88" s="3"/>
      <c r="BJ88" s="3"/>
      <c r="BK88" s="7" t="s">
        <v>61</v>
      </c>
      <c r="BL88" t="s">
        <v>370</v>
      </c>
      <c r="BM88">
        <v>6</v>
      </c>
      <c r="BN88">
        <v>1</v>
      </c>
      <c r="BO88" t="s">
        <v>91</v>
      </c>
      <c r="BP88" t="s">
        <v>372</v>
      </c>
      <c r="BQ88" t="s">
        <v>373</v>
      </c>
      <c r="BR88" t="s">
        <v>219</v>
      </c>
      <c r="BS88"/>
    </row>
    <row r="89" spans="1:76" ht="30" hidden="1" x14ac:dyDescent="0.25">
      <c r="B89" s="42" t="s">
        <v>120</v>
      </c>
      <c r="C89" t="s">
        <v>370</v>
      </c>
      <c r="D89" t="str">
        <f t="shared" si="47"/>
        <v>42-Private</v>
      </c>
      <c r="E89" t="s">
        <v>650</v>
      </c>
      <c r="F89">
        <v>6</v>
      </c>
      <c r="G89">
        <f t="shared" si="48"/>
        <v>21</v>
      </c>
      <c r="H89" s="248" t="s">
        <v>423</v>
      </c>
      <c r="I89" s="248" t="s">
        <v>427</v>
      </c>
      <c r="J89" s="248" t="s">
        <v>586</v>
      </c>
      <c r="K89" s="61">
        <f t="shared" si="49"/>
        <v>0.5995172653803823</v>
      </c>
      <c r="L89" s="60">
        <f>IF(I89="Mechanical",(('Mob-Mech'!$E$47+'Demob-Mech'!$E$42)/G89),(('Mob-Hyd'!$E$47+'Demob-Hyd'!$E$42)/G89))</f>
        <v>32123.33010272</v>
      </c>
      <c r="M89" s="56">
        <f t="shared" si="50"/>
        <v>-4.5985714285714296</v>
      </c>
      <c r="N89" s="56">
        <f t="shared" si="51"/>
        <v>4.5985714285714296</v>
      </c>
      <c r="O89" t="str">
        <f t="shared" si="52"/>
        <v>Averaged</v>
      </c>
      <c r="P89" s="58">
        <f t="shared" si="53"/>
        <v>13207.322205215423</v>
      </c>
      <c r="Q89" s="249">
        <v>1.1000000000000001</v>
      </c>
      <c r="R89" s="58">
        <f t="shared" si="54"/>
        <v>14528.054425736967</v>
      </c>
      <c r="S89" s="58">
        <f>R89*'PrismQC Vols'!$G$14</f>
        <v>980.86297491035191</v>
      </c>
      <c r="T89" s="282">
        <f>IF(I89="Mechanical",S89/Prod!$D$21,S89/Prod!$D$11)</f>
        <v>1.4946483427205361</v>
      </c>
      <c r="U89" s="61">
        <f>IF(I89="Hydraulic",(T89*('DR-Hyd'!$O$13+'DR-Hyd'!$O$18+'DR-Hyd'!$O$24)/S89),(T89*('DR-Mech'!$O$13+'DR-Mech'!$O$18+'DR-Mech'!$O$24)/S89))</f>
        <v>15.253427281310476</v>
      </c>
      <c r="V89" s="61">
        <f>IF(I89="Hydraulic",(T89*'DR-Hyd'!$O$34)/S89,(T89*'DR-Mech'!$O$34)/S89)+5</f>
        <v>19.221610773333332</v>
      </c>
      <c r="W89" s="61">
        <f>IF(I89="Hydraulic",(Overhead!$F$39/S89)+((Overhead!$D$39/Table!G89)/S89),(Overhead!$K$39/S89)+((Overhead!I123/Table!G89)/S89))</f>
        <v>1.7389448988249963</v>
      </c>
      <c r="X89" s="61">
        <f t="shared" si="55"/>
        <v>1</v>
      </c>
      <c r="Y89" s="61">
        <f>IF(H89="Upland",0,(IF(I89="Mechanical",(T89*'DR-Mech'!$O$24+'DR-Mech'!$O$34)/S89,(T89*'DR-Hyd'!$O$24+'DR-Hyd'!$O$34)/S89)))</f>
        <v>0</v>
      </c>
      <c r="Z89" s="301">
        <f t="shared" si="56"/>
        <v>37.2139829534688</v>
      </c>
      <c r="AA89" s="301">
        <f t="shared" si="57"/>
        <v>42.796080396489117</v>
      </c>
      <c r="AB89" s="302" t="str">
        <f t="shared" si="58"/>
        <v>High</v>
      </c>
      <c r="AC89" s="303">
        <f t="shared" si="59"/>
        <v>6.2485651974288341E-2</v>
      </c>
      <c r="AD89" s="404">
        <f t="shared" si="60"/>
        <v>6953.94844010817</v>
      </c>
      <c r="AE89" s="61">
        <f t="shared" si="61"/>
        <v>0.74427965906937599</v>
      </c>
      <c r="AF89" s="61">
        <f t="shared" si="62"/>
        <v>0.89313559088325123</v>
      </c>
      <c r="AG89" s="61">
        <f t="shared" si="63"/>
        <v>1.1164194886040639</v>
      </c>
      <c r="AH89" s="301">
        <f t="shared" si="64"/>
        <v>2.7538347385566913</v>
      </c>
      <c r="AI89" s="301">
        <f t="shared" si="65"/>
        <v>3.1669099493401949</v>
      </c>
      <c r="AJ89" s="310">
        <f t="shared" si="66"/>
        <v>39.967817692025491</v>
      </c>
      <c r="AK89" s="311">
        <f t="shared" si="67"/>
        <v>45.962990345829311</v>
      </c>
      <c r="AL89" s="42" t="s">
        <v>120</v>
      </c>
      <c r="AM89" s="14">
        <v>1675</v>
      </c>
      <c r="AN89" s="14"/>
      <c r="AO89" s="4">
        <v>65</v>
      </c>
      <c r="AP89" s="5">
        <f t="shared" si="46"/>
        <v>32.5</v>
      </c>
      <c r="AQ89" s="6" t="s">
        <v>121</v>
      </c>
      <c r="AR89" s="6" t="s">
        <v>122</v>
      </c>
      <c r="AS89" s="3" t="s">
        <v>8</v>
      </c>
      <c r="AT89" s="4">
        <v>-5.4</v>
      </c>
      <c r="AU89" s="3"/>
      <c r="AV89" s="4"/>
      <c r="AW89" s="4"/>
      <c r="AX89" s="4"/>
      <c r="AY89" s="4"/>
      <c r="AZ89" s="4"/>
      <c r="BA89" s="6"/>
      <c r="BB89" s="6"/>
      <c r="BC89" s="6" t="s">
        <v>123</v>
      </c>
      <c r="BD89" s="6" t="s">
        <v>124</v>
      </c>
      <c r="BE89" s="6" t="s">
        <v>70</v>
      </c>
      <c r="BF89" s="3" t="s">
        <v>27</v>
      </c>
      <c r="BG89" s="3" t="s">
        <v>28</v>
      </c>
      <c r="BH89" s="6"/>
      <c r="BI89" s="3"/>
      <c r="BJ89" s="3"/>
      <c r="BK89" s="7" t="s">
        <v>61</v>
      </c>
      <c r="BL89" t="s">
        <v>370</v>
      </c>
      <c r="BM89">
        <v>6</v>
      </c>
      <c r="BN89">
        <v>1</v>
      </c>
      <c r="BO89" t="s">
        <v>91</v>
      </c>
      <c r="BP89" t="s">
        <v>372</v>
      </c>
      <c r="BQ89" t="s">
        <v>373</v>
      </c>
      <c r="BR89" t="s">
        <v>219</v>
      </c>
      <c r="BS89"/>
    </row>
    <row r="90" spans="1:76" hidden="1" x14ac:dyDescent="0.25">
      <c r="B90" s="42" t="s">
        <v>125</v>
      </c>
      <c r="C90" t="s">
        <v>370</v>
      </c>
      <c r="D90" t="str">
        <f t="shared" si="47"/>
        <v>43-Private</v>
      </c>
      <c r="E90" t="s">
        <v>650</v>
      </c>
      <c r="F90">
        <v>6</v>
      </c>
      <c r="G90">
        <f t="shared" si="48"/>
        <v>21</v>
      </c>
      <c r="H90" s="248" t="s">
        <v>423</v>
      </c>
      <c r="I90" s="248" t="s">
        <v>427</v>
      </c>
      <c r="J90" s="248" t="s">
        <v>586</v>
      </c>
      <c r="K90" s="61">
        <f t="shared" si="49"/>
        <v>0.59377739882298153</v>
      </c>
      <c r="L90" s="60">
        <f>IF(I90="Mechanical",(('Mob-Mech'!$E$47+'Demob-Mech'!$E$42)/G90),(('Mob-Hyd'!$E$47+'Demob-Hyd'!$E$42)/G90))</f>
        <v>32123.33010272</v>
      </c>
      <c r="M90" s="56">
        <f t="shared" si="50"/>
        <v>-4.5985714285714296</v>
      </c>
      <c r="N90" s="56">
        <f t="shared" si="51"/>
        <v>4.5985714285714296</v>
      </c>
      <c r="O90" t="str">
        <f t="shared" si="52"/>
        <v>Averaged</v>
      </c>
      <c r="P90" s="58">
        <f t="shared" si="53"/>
        <v>16610.68234013606</v>
      </c>
      <c r="Q90" s="249">
        <v>1.1000000000000001</v>
      </c>
      <c r="R90" s="58">
        <f t="shared" si="54"/>
        <v>18271.750574149668</v>
      </c>
      <c r="S90" s="58">
        <f>R90*'PrismQC Vols'!$G$14</f>
        <v>1233.6189760709294</v>
      </c>
      <c r="T90" s="282">
        <f>IF(I90="Mechanical",S90/Prod!$D$21,S90/Prod!$D$11)</f>
        <v>1.8798003444890352</v>
      </c>
      <c r="U90" s="61">
        <f>IF(I90="Hydraulic",(T90*('DR-Hyd'!$O$13+'DR-Hyd'!$O$18+'DR-Hyd'!$O$24)/S90),(T90*('DR-Mech'!$O$13+'DR-Mech'!$O$18+'DR-Mech'!$O$24)/S90))</f>
        <v>15.253427281310477</v>
      </c>
      <c r="V90" s="61">
        <f>IF(I90="Hydraulic",(T90*'DR-Hyd'!$O$34)/S90,(T90*'DR-Mech'!$O$34)/S90)+5</f>
        <v>19.221610773333332</v>
      </c>
      <c r="W90" s="61">
        <f>IF(I90="Hydraulic",(Overhead!$F$39/S90)+((Overhead!$D$39/Table!G90)/S90),(Overhead!$K$39/S90)+((Overhead!I124/Table!G90)/S90))</f>
        <v>1.3826527475276094</v>
      </c>
      <c r="X90" s="61">
        <f t="shared" si="55"/>
        <v>1</v>
      </c>
      <c r="Y90" s="61">
        <f>IF(H90="Upland",0,(IF(I90="Mechanical",(T90*'DR-Mech'!$O$24+'DR-Mech'!$O$34)/S90,(T90*'DR-Hyd'!$O$24+'DR-Hyd'!$O$34)/S90)))</f>
        <v>0</v>
      </c>
      <c r="Z90" s="301">
        <f t="shared" si="56"/>
        <v>36.857690802171419</v>
      </c>
      <c r="AA90" s="301">
        <f t="shared" si="57"/>
        <v>42.386344422497132</v>
      </c>
      <c r="AB90" s="302" t="str">
        <f t="shared" si="58"/>
        <v>High</v>
      </c>
      <c r="AC90" s="303">
        <f t="shared" si="59"/>
        <v>8.15426997245179E-2</v>
      </c>
      <c r="AD90" s="404">
        <f t="shared" si="60"/>
        <v>9074.7829563312862</v>
      </c>
      <c r="AE90" s="61">
        <f t="shared" si="61"/>
        <v>0.73715381604342844</v>
      </c>
      <c r="AF90" s="61">
        <f t="shared" si="62"/>
        <v>0.88458457925211409</v>
      </c>
      <c r="AG90" s="61">
        <f t="shared" si="63"/>
        <v>1.1057307240651426</v>
      </c>
      <c r="AH90" s="301">
        <f t="shared" si="64"/>
        <v>2.727469119360685</v>
      </c>
      <c r="AI90" s="301">
        <f t="shared" si="65"/>
        <v>3.1365894872647875</v>
      </c>
      <c r="AJ90" s="310">
        <f t="shared" si="66"/>
        <v>39.585159921532103</v>
      </c>
      <c r="AK90" s="311">
        <f t="shared" si="67"/>
        <v>45.522933909761917</v>
      </c>
      <c r="AL90" s="42" t="s">
        <v>125</v>
      </c>
      <c r="AM90" s="14">
        <v>1920</v>
      </c>
      <c r="AN90" s="14"/>
      <c r="AO90" s="4">
        <v>74</v>
      </c>
      <c r="AP90" s="5">
        <f t="shared" si="46"/>
        <v>37</v>
      </c>
      <c r="AQ90" s="6" t="s">
        <v>122</v>
      </c>
      <c r="AR90" s="6" t="s">
        <v>126</v>
      </c>
      <c r="AS90" s="3" t="s">
        <v>8</v>
      </c>
      <c r="AT90" s="4">
        <v>-5.4</v>
      </c>
      <c r="AU90" s="3"/>
      <c r="AV90" s="4"/>
      <c r="AW90" s="4"/>
      <c r="AX90" s="4"/>
      <c r="AY90" s="4"/>
      <c r="AZ90" s="4"/>
      <c r="BA90" s="6"/>
      <c r="BB90" s="6"/>
      <c r="BC90" s="6" t="s">
        <v>123</v>
      </c>
      <c r="BD90" s="6" t="s">
        <v>127</v>
      </c>
      <c r="BE90" s="6" t="s">
        <v>93</v>
      </c>
      <c r="BF90" s="3"/>
      <c r="BG90" s="3" t="s">
        <v>28</v>
      </c>
      <c r="BH90" s="6"/>
      <c r="BI90" s="3"/>
      <c r="BJ90" s="3"/>
      <c r="BK90" s="7" t="s">
        <v>61</v>
      </c>
      <c r="BL90" t="s">
        <v>370</v>
      </c>
      <c r="BM90">
        <v>6</v>
      </c>
      <c r="BN90">
        <v>1</v>
      </c>
      <c r="BO90" t="s">
        <v>91</v>
      </c>
      <c r="BP90" t="s">
        <v>372</v>
      </c>
      <c r="BQ90" t="s">
        <v>373</v>
      </c>
      <c r="BR90" t="s">
        <v>219</v>
      </c>
      <c r="BS90"/>
    </row>
    <row r="91" spans="1:76" hidden="1" x14ac:dyDescent="0.25">
      <c r="B91" s="42" t="s">
        <v>128</v>
      </c>
      <c r="C91" t="s">
        <v>370</v>
      </c>
      <c r="D91" t="str">
        <f t="shared" si="47"/>
        <v>44-Private</v>
      </c>
      <c r="E91" t="s">
        <v>650</v>
      </c>
      <c r="F91">
        <v>6</v>
      </c>
      <c r="G91">
        <f t="shared" si="48"/>
        <v>21</v>
      </c>
      <c r="H91" s="248" t="s">
        <v>423</v>
      </c>
      <c r="I91" s="248" t="s">
        <v>427</v>
      </c>
      <c r="J91" s="248" t="s">
        <v>586</v>
      </c>
      <c r="K91" s="61">
        <f t="shared" si="49"/>
        <v>0.61788866855917202</v>
      </c>
      <c r="L91" s="60">
        <f>IF(I91="Mechanical",(('Mob-Mech'!$E$47+'Demob-Mech'!$E$42)/G91),(('Mob-Hyd'!$E$47+'Demob-Hyd'!$E$42)/G91))</f>
        <v>32123.33010272</v>
      </c>
      <c r="M91" s="56">
        <f t="shared" si="50"/>
        <v>-4.5985714285714296</v>
      </c>
      <c r="N91" s="56">
        <f t="shared" si="51"/>
        <v>4.5985714285714296</v>
      </c>
      <c r="O91" t="str">
        <f t="shared" si="52"/>
        <v>Averaged</v>
      </c>
      <c r="P91" s="58">
        <f t="shared" si="53"/>
        <v>7976.4754292517036</v>
      </c>
      <c r="Q91" s="249">
        <v>1.1000000000000001</v>
      </c>
      <c r="R91" s="58">
        <f t="shared" si="54"/>
        <v>8774.1229721768741</v>
      </c>
      <c r="S91" s="58">
        <f>R91*'PrismQC Vols'!$G$14</f>
        <v>592.38574612388936</v>
      </c>
      <c r="T91" s="282">
        <f>IF(I91="Mechanical",S91/Prod!$D$21,S91/Prod!$D$11)</f>
        <v>0.90268304171259328</v>
      </c>
      <c r="U91" s="61">
        <f>IF(I91="Hydraulic",(T91*('DR-Hyd'!$O$13+'DR-Hyd'!$O$18+'DR-Hyd'!$O$24)/S91),(T91*('DR-Mech'!$O$13+'DR-Mech'!$O$18+'DR-Mech'!$O$24)/S91))</f>
        <v>15.253427281310476</v>
      </c>
      <c r="V91" s="61">
        <f>IF(I91="Hydraulic",(T91*'DR-Hyd'!$O$34)/S91,(T91*'DR-Mech'!$O$34)/S91)+5</f>
        <v>19.221610773333332</v>
      </c>
      <c r="W91" s="61">
        <f>IF(I91="Hydraulic",(Overhead!$F$39/S91)+((Overhead!$D$39/Table!G91)/S91),(Overhead!$K$39/S91)+((Overhead!I125/Table!G91)/S91))</f>
        <v>2.8793175356213752</v>
      </c>
      <c r="X91" s="61">
        <f t="shared" si="55"/>
        <v>1</v>
      </c>
      <c r="Y91" s="61">
        <f>IF(H91="Upland",0,(IF(I91="Mechanical",(T91*'DR-Mech'!$O$24+'DR-Mech'!$O$34)/S91,(T91*'DR-Hyd'!$O$24+'DR-Hyd'!$O$34)/S91)))</f>
        <v>0</v>
      </c>
      <c r="Z91" s="301">
        <f t="shared" si="56"/>
        <v>38.354355590265179</v>
      </c>
      <c r="AA91" s="301">
        <f t="shared" si="57"/>
        <v>44.107508928804954</v>
      </c>
      <c r="AB91" s="302" t="str">
        <f t="shared" si="58"/>
        <v>High</v>
      </c>
      <c r="AC91" s="303">
        <f t="shared" si="59"/>
        <v>3.9299242424242424E-2</v>
      </c>
      <c r="AD91" s="404">
        <f t="shared" si="60"/>
        <v>4373.5625206558616</v>
      </c>
      <c r="AE91" s="61">
        <f t="shared" si="61"/>
        <v>0.76708711180530365</v>
      </c>
      <c r="AF91" s="61">
        <f t="shared" si="62"/>
        <v>0.92050453416636435</v>
      </c>
      <c r="AG91" s="61">
        <f t="shared" si="63"/>
        <v>1.1506306677079554</v>
      </c>
      <c r="AH91" s="301">
        <f t="shared" si="64"/>
        <v>2.8382223136796236</v>
      </c>
      <c r="AI91" s="301">
        <f t="shared" si="65"/>
        <v>3.263955660731567</v>
      </c>
      <c r="AJ91" s="310">
        <f t="shared" si="66"/>
        <v>41.192577903944802</v>
      </c>
      <c r="AK91" s="311">
        <f t="shared" si="67"/>
        <v>47.371464589536515</v>
      </c>
      <c r="AL91" s="42" t="s">
        <v>128</v>
      </c>
      <c r="AM91" s="14">
        <v>913</v>
      </c>
      <c r="AN91" s="14"/>
      <c r="AO91" s="4">
        <v>75</v>
      </c>
      <c r="AP91" s="5">
        <f t="shared" si="46"/>
        <v>37.5</v>
      </c>
      <c r="AQ91" s="6" t="s">
        <v>126</v>
      </c>
      <c r="AR91" s="6" t="s">
        <v>129</v>
      </c>
      <c r="AS91" s="3" t="s">
        <v>8</v>
      </c>
      <c r="AT91" s="4">
        <v>-5.4</v>
      </c>
      <c r="AU91" s="3"/>
      <c r="AV91" s="4"/>
      <c r="AW91" s="4"/>
      <c r="AX91" s="4"/>
      <c r="AY91" s="4"/>
      <c r="AZ91" s="4"/>
      <c r="BA91" s="6"/>
      <c r="BB91" s="6"/>
      <c r="BC91" s="6" t="s">
        <v>10</v>
      </c>
      <c r="BD91" s="6" t="s">
        <v>19</v>
      </c>
      <c r="BE91" s="6" t="s">
        <v>27</v>
      </c>
      <c r="BF91" s="3"/>
      <c r="BG91" s="3" t="s">
        <v>28</v>
      </c>
      <c r="BH91" s="6"/>
      <c r="BI91" s="3"/>
      <c r="BJ91" s="3"/>
      <c r="BK91" s="7" t="s">
        <v>61</v>
      </c>
      <c r="BL91" t="s">
        <v>370</v>
      </c>
      <c r="BM91">
        <v>6</v>
      </c>
      <c r="BN91">
        <v>1</v>
      </c>
      <c r="BO91" t="s">
        <v>91</v>
      </c>
      <c r="BP91" t="s">
        <v>372</v>
      </c>
      <c r="BQ91" t="s">
        <v>373</v>
      </c>
      <c r="BR91" t="s">
        <v>219</v>
      </c>
      <c r="BS91"/>
    </row>
    <row r="92" spans="1:76" s="27" customFormat="1" hidden="1" x14ac:dyDescent="0.25">
      <c r="A92" s="24"/>
      <c r="B92" s="42" t="s">
        <v>130</v>
      </c>
      <c r="C92" t="s">
        <v>370</v>
      </c>
      <c r="D92" t="str">
        <f t="shared" si="47"/>
        <v>45-Private</v>
      </c>
      <c r="E92" t="s">
        <v>650</v>
      </c>
      <c r="F92">
        <v>6</v>
      </c>
      <c r="G92">
        <f t="shared" si="48"/>
        <v>21</v>
      </c>
      <c r="H92" s="248" t="s">
        <v>423</v>
      </c>
      <c r="I92" s="248" t="s">
        <v>427</v>
      </c>
      <c r="J92" s="248" t="s">
        <v>586</v>
      </c>
      <c r="K92" s="61">
        <f t="shared" si="49"/>
        <v>0.61674677867312389</v>
      </c>
      <c r="L92" s="60">
        <f>IF(I92="Mechanical",(('Mob-Mech'!$E$47+'Demob-Mech'!$E$42)/G92),(('Mob-Hyd'!$E$47+'Demob-Hyd'!$E$42)/G92))</f>
        <v>32123.33010272</v>
      </c>
      <c r="M92" s="56">
        <f t="shared" si="50"/>
        <v>-4.5985714285714296</v>
      </c>
      <c r="N92" s="56">
        <f t="shared" si="51"/>
        <v>4.5985714285714296</v>
      </c>
      <c r="O92" t="str">
        <f t="shared" si="52"/>
        <v>Averaged</v>
      </c>
      <c r="P92" s="58">
        <f t="shared" si="53"/>
        <v>8177.7899374149683</v>
      </c>
      <c r="Q92" s="249">
        <v>1.1000000000000001</v>
      </c>
      <c r="R92" s="58">
        <f t="shared" si="54"/>
        <v>8995.5689311564656</v>
      </c>
      <c r="S92" s="58">
        <f>R92*'PrismQC Vols'!$G$14</f>
        <v>607.33669108468234</v>
      </c>
      <c r="T92" s="282">
        <f>IF(I92="Mechanical",S92/Prod!$D$21,S92/Prod!$D$11)</f>
        <v>0.92546543403380166</v>
      </c>
      <c r="U92" s="61">
        <f>IF(I92="Hydraulic",(T92*('DR-Hyd'!$O$13+'DR-Hyd'!$O$18+'DR-Hyd'!$O$24)/S92),(T92*('DR-Mech'!$O$13+'DR-Mech'!$O$18+'DR-Mech'!$O$24)/S92))</f>
        <v>15.253427281310476</v>
      </c>
      <c r="V92" s="61">
        <f>IF(I92="Hydraulic",(T92*'DR-Hyd'!$O$34)/S92,(T92*'DR-Mech'!$O$34)/S92)+5</f>
        <v>19.221610773333332</v>
      </c>
      <c r="W92" s="61">
        <f>IF(I92="Hydraulic",(Overhead!$F$39/S92)+((Overhead!$D$39/Table!G92)/S92),(Overhead!$K$39/S92)+((Overhead!I126/Table!G92)/S92))</f>
        <v>2.8084367233278877</v>
      </c>
      <c r="X92" s="61">
        <f t="shared" si="55"/>
        <v>1</v>
      </c>
      <c r="Y92" s="61">
        <f>IF(H92="Upland",0,(IF(I92="Mechanical",(T92*'DR-Mech'!$O$24+'DR-Mech'!$O$34)/S92,(T92*'DR-Hyd'!$O$24+'DR-Hyd'!$O$34)/S92)))</f>
        <v>0</v>
      </c>
      <c r="Z92" s="301">
        <f t="shared" si="56"/>
        <v>38.283474777971691</v>
      </c>
      <c r="AA92" s="301">
        <f t="shared" si="57"/>
        <v>44.02599599466744</v>
      </c>
      <c r="AB92" s="302" t="str">
        <f t="shared" si="58"/>
        <v>High</v>
      </c>
      <c r="AC92" s="303">
        <f t="shared" si="59"/>
        <v>3.953168044077135E-2</v>
      </c>
      <c r="AD92" s="404">
        <f t="shared" si="60"/>
        <v>4399.4302507889852</v>
      </c>
      <c r="AE92" s="61">
        <f t="shared" si="61"/>
        <v>0.76566949555943387</v>
      </c>
      <c r="AF92" s="61">
        <f t="shared" si="62"/>
        <v>0.91880339467132055</v>
      </c>
      <c r="AG92" s="61">
        <f t="shared" si="63"/>
        <v>1.1485042433391506</v>
      </c>
      <c r="AH92" s="301">
        <f t="shared" si="64"/>
        <v>2.832977133569905</v>
      </c>
      <c r="AI92" s="301">
        <f t="shared" si="65"/>
        <v>3.2579237036053903</v>
      </c>
      <c r="AJ92" s="310">
        <f t="shared" si="66"/>
        <v>41.116451911541596</v>
      </c>
      <c r="AK92" s="311">
        <f t="shared" si="67"/>
        <v>47.283919698272832</v>
      </c>
      <c r="AL92" s="42" t="s">
        <v>130</v>
      </c>
      <c r="AM92" s="14">
        <v>984</v>
      </c>
      <c r="AN92" s="14"/>
      <c r="AO92" s="4">
        <v>70</v>
      </c>
      <c r="AP92" s="5">
        <f t="shared" si="46"/>
        <v>35</v>
      </c>
      <c r="AQ92" s="6" t="s">
        <v>129</v>
      </c>
      <c r="AR92" s="6" t="s">
        <v>131</v>
      </c>
      <c r="AS92" s="3" t="s">
        <v>8</v>
      </c>
      <c r="AT92" s="4">
        <v>-5.4</v>
      </c>
      <c r="AU92" s="3"/>
      <c r="AV92" s="4"/>
      <c r="AW92" s="4"/>
      <c r="AX92" s="4"/>
      <c r="AY92" s="4"/>
      <c r="AZ92" s="4"/>
      <c r="BA92" s="6"/>
      <c r="BB92" s="6"/>
      <c r="BC92" s="6" t="s">
        <v>132</v>
      </c>
      <c r="BD92" s="6" t="s">
        <v>133</v>
      </c>
      <c r="BE92" s="6" t="s">
        <v>27</v>
      </c>
      <c r="BF92" s="3" t="s">
        <v>134</v>
      </c>
      <c r="BG92" s="3" t="s">
        <v>28</v>
      </c>
      <c r="BH92" s="6"/>
      <c r="BI92" s="3"/>
      <c r="BJ92" s="3"/>
      <c r="BK92" s="7" t="s">
        <v>61</v>
      </c>
      <c r="BL92" t="s">
        <v>370</v>
      </c>
      <c r="BM92">
        <v>6</v>
      </c>
      <c r="BN92">
        <v>1</v>
      </c>
      <c r="BO92" t="s">
        <v>91</v>
      </c>
      <c r="BP92" t="s">
        <v>372</v>
      </c>
      <c r="BQ92" t="s">
        <v>373</v>
      </c>
      <c r="BR92" t="s">
        <v>219</v>
      </c>
      <c r="BS92"/>
      <c r="BT92" s="1"/>
      <c r="BU92" s="1"/>
      <c r="BV92" s="1"/>
      <c r="BW92" s="1"/>
      <c r="BX92" s="1"/>
    </row>
    <row r="93" spans="1:76" s="22" customFormat="1" hidden="1" x14ac:dyDescent="0.25">
      <c r="A93" s="24"/>
      <c r="B93" s="42" t="s">
        <v>135</v>
      </c>
      <c r="C93" t="s">
        <v>370</v>
      </c>
      <c r="D93" t="str">
        <f t="shared" si="47"/>
        <v>46-Private</v>
      </c>
      <c r="E93" t="s">
        <v>650</v>
      </c>
      <c r="F93">
        <v>6</v>
      </c>
      <c r="G93">
        <f t="shared" si="48"/>
        <v>21</v>
      </c>
      <c r="H93" s="248" t="s">
        <v>423</v>
      </c>
      <c r="I93" s="248" t="s">
        <v>427</v>
      </c>
      <c r="J93" s="248" t="s">
        <v>586</v>
      </c>
      <c r="K93" s="61">
        <f t="shared" si="49"/>
        <v>0.61238920021549914</v>
      </c>
      <c r="L93" s="60">
        <f>IF(I93="Mechanical",(('Mob-Mech'!$E$47+'Demob-Mech'!$E$42)/G93),(('Mob-Hyd'!$E$47+'Demob-Hyd'!$E$42)/G93))</f>
        <v>32123.33010272</v>
      </c>
      <c r="M93" s="56">
        <f t="shared" si="50"/>
        <v>-4.5985714285714296</v>
      </c>
      <c r="N93" s="56">
        <f t="shared" si="51"/>
        <v>4.5985714285714296</v>
      </c>
      <c r="O93" t="str">
        <f t="shared" si="52"/>
        <v>Averaged</v>
      </c>
      <c r="P93" s="58">
        <f t="shared" si="53"/>
        <v>9049.3613165532915</v>
      </c>
      <c r="Q93" s="249">
        <v>1.1000000000000001</v>
      </c>
      <c r="R93" s="58">
        <f t="shared" si="54"/>
        <v>9954.2974482086211</v>
      </c>
      <c r="S93" s="58">
        <f>R93*'PrismQC Vols'!$G$14</f>
        <v>672.06533800530849</v>
      </c>
      <c r="T93" s="282">
        <f>IF(I93="Mechanical",S93/Prod!$D$21,S93/Prod!$D$11)</f>
        <v>1.0240995626747558</v>
      </c>
      <c r="U93" s="61">
        <f>IF(I93="Hydraulic",(T93*('DR-Hyd'!$O$13+'DR-Hyd'!$O$18+'DR-Hyd'!$O$24)/S93),(T93*('DR-Mech'!$O$13+'DR-Mech'!$O$18+'DR-Mech'!$O$24)/S93))</f>
        <v>15.253427281310476</v>
      </c>
      <c r="V93" s="61">
        <f>IF(I93="Hydraulic",(T93*'DR-Hyd'!$O$34)/S93,(T93*'DR-Mech'!$O$34)/S93)+5</f>
        <v>19.221610773333335</v>
      </c>
      <c r="W93" s="61">
        <f>IF(I93="Hydraulic",(Overhead!$F$39/S93)+((Overhead!$D$39/Table!G93)/S93),(Overhead!$K$39/S93)+((Overhead!I127/Table!G93)/S93))</f>
        <v>2.5379476818862425</v>
      </c>
      <c r="X93" s="61">
        <f t="shared" si="55"/>
        <v>1</v>
      </c>
      <c r="Y93" s="61">
        <f>IF(H93="Upland",0,(IF(I93="Mechanical",(T93*'DR-Mech'!$O$24+'DR-Mech'!$O$34)/S93,(T93*'DR-Hyd'!$O$24+'DR-Hyd'!$O$34)/S93)))</f>
        <v>0</v>
      </c>
      <c r="Z93" s="301">
        <f t="shared" si="56"/>
        <v>38.012985736530055</v>
      </c>
      <c r="AA93" s="301">
        <f t="shared" si="57"/>
        <v>43.714933597009562</v>
      </c>
      <c r="AB93" s="302" t="str">
        <f t="shared" si="58"/>
        <v>High</v>
      </c>
      <c r="AC93" s="303">
        <f t="shared" si="59"/>
        <v>4.4423783287419652E-2</v>
      </c>
      <c r="AD93" s="404">
        <f t="shared" si="60"/>
        <v>4943.8661314179817</v>
      </c>
      <c r="AE93" s="61">
        <f t="shared" si="61"/>
        <v>0.76025971473060117</v>
      </c>
      <c r="AF93" s="61">
        <f t="shared" si="62"/>
        <v>0.91231165767672129</v>
      </c>
      <c r="AG93" s="61">
        <f t="shared" si="63"/>
        <v>1.1403895720959016</v>
      </c>
      <c r="AH93" s="301">
        <f t="shared" si="64"/>
        <v>2.812960944503224</v>
      </c>
      <c r="AI93" s="301">
        <f t="shared" si="65"/>
        <v>3.2349050861787072</v>
      </c>
      <c r="AJ93" s="310">
        <f t="shared" si="66"/>
        <v>40.82594668103328</v>
      </c>
      <c r="AK93" s="311">
        <f t="shared" si="67"/>
        <v>46.949838683188268</v>
      </c>
      <c r="AL93" s="42" t="s">
        <v>135</v>
      </c>
      <c r="AM93" s="14">
        <v>1046</v>
      </c>
      <c r="AN93" s="14"/>
      <c r="AO93" s="4">
        <v>74</v>
      </c>
      <c r="AP93" s="5">
        <f t="shared" si="46"/>
        <v>37</v>
      </c>
      <c r="AQ93" s="6" t="s">
        <v>131</v>
      </c>
      <c r="AR93" s="6" t="s">
        <v>136</v>
      </c>
      <c r="AS93" s="3" t="s">
        <v>8</v>
      </c>
      <c r="AT93" s="4">
        <v>-5.4</v>
      </c>
      <c r="AU93" s="3"/>
      <c r="AV93" s="4"/>
      <c r="AW93" s="4"/>
      <c r="AX93" s="4"/>
      <c r="AY93" s="4"/>
      <c r="AZ93" s="4"/>
      <c r="BA93" s="6"/>
      <c r="BB93" s="6"/>
      <c r="BC93" s="6" t="s">
        <v>91</v>
      </c>
      <c r="BD93" s="6" t="s">
        <v>137</v>
      </c>
      <c r="BE93" s="6" t="s">
        <v>27</v>
      </c>
      <c r="BF93" s="3" t="s">
        <v>138</v>
      </c>
      <c r="BG93" s="3" t="s">
        <v>28</v>
      </c>
      <c r="BH93" s="6"/>
      <c r="BI93" s="3"/>
      <c r="BJ93" s="3"/>
      <c r="BK93" s="7" t="s">
        <v>61</v>
      </c>
      <c r="BL93" t="s">
        <v>370</v>
      </c>
      <c r="BM93">
        <v>6</v>
      </c>
      <c r="BN93">
        <v>1</v>
      </c>
      <c r="BO93" t="s">
        <v>91</v>
      </c>
      <c r="BP93" t="s">
        <v>372</v>
      </c>
      <c r="BQ93" t="s">
        <v>373</v>
      </c>
      <c r="BR93" t="s">
        <v>219</v>
      </c>
      <c r="BS93"/>
      <c r="BT93" s="1"/>
    </row>
    <row r="94" spans="1:76" s="22" customFormat="1" hidden="1" x14ac:dyDescent="0.25">
      <c r="A94" s="24"/>
      <c r="B94" s="42" t="s">
        <v>139</v>
      </c>
      <c r="C94" t="s">
        <v>370</v>
      </c>
      <c r="D94" t="str">
        <f t="shared" si="47"/>
        <v>47-Private</v>
      </c>
      <c r="E94" t="s">
        <v>650</v>
      </c>
      <c r="F94">
        <v>6</v>
      </c>
      <c r="G94">
        <f t="shared" si="48"/>
        <v>21</v>
      </c>
      <c r="H94" s="248" t="s">
        <v>423</v>
      </c>
      <c r="I94" s="248" t="s">
        <v>427</v>
      </c>
      <c r="J94" s="248" t="s">
        <v>586</v>
      </c>
      <c r="K94" s="61">
        <f t="shared" si="49"/>
        <v>0.60738085197010816</v>
      </c>
      <c r="L94" s="60">
        <f>IF(I94="Mechanical",(('Mob-Mech'!$E$47+'Demob-Mech'!$E$42)/G94),(('Mob-Hyd'!$E$47+'Demob-Hyd'!$E$42)/G94))</f>
        <v>32123.33010272</v>
      </c>
      <c r="M94" s="56">
        <f t="shared" si="50"/>
        <v>-4.5985714285714296</v>
      </c>
      <c r="N94" s="56">
        <f t="shared" si="51"/>
        <v>4.5985714285714296</v>
      </c>
      <c r="O94" t="str">
        <f t="shared" si="52"/>
        <v>Averaged</v>
      </c>
      <c r="P94" s="58">
        <f t="shared" si="53"/>
        <v>10312.596917233563</v>
      </c>
      <c r="Q94" s="249">
        <v>1.1000000000000001</v>
      </c>
      <c r="R94" s="58">
        <f t="shared" si="54"/>
        <v>11343.856608956919</v>
      </c>
      <c r="S94" s="58">
        <f>R94*'PrismQC Vols'!$G$14</f>
        <v>765.88155676967119</v>
      </c>
      <c r="T94" s="282">
        <f>IF(I94="Mechanical",S94/Prod!$D$21,S94/Prod!$D$11)</f>
        <v>1.1670576103156893</v>
      </c>
      <c r="U94" s="61">
        <f>IF(I94="Hydraulic",(T94*('DR-Hyd'!$O$13+'DR-Hyd'!$O$18+'DR-Hyd'!$O$24)/S94),(T94*('DR-Mech'!$O$13+'DR-Mech'!$O$18+'DR-Mech'!$O$24)/S94))</f>
        <v>15.253427281310476</v>
      </c>
      <c r="V94" s="61">
        <f>IF(I94="Hydraulic",(T94*'DR-Hyd'!$O$34)/S94,(T94*'DR-Mech'!$O$34)/S94)+5</f>
        <v>19.221610773333332</v>
      </c>
      <c r="W94" s="61">
        <f>IF(I94="Hydraulic",(Overhead!$F$39/S94)+((Overhead!$D$39/Table!G94)/S94),(Overhead!$K$39/S94)+((Overhead!I128/Table!G94)/S94))</f>
        <v>2.2270632470388936</v>
      </c>
      <c r="X94" s="61">
        <f t="shared" si="55"/>
        <v>1</v>
      </c>
      <c r="Y94" s="61">
        <f>IF(H94="Upland",0,(IF(I94="Mechanical",(T94*'DR-Mech'!$O$24+'DR-Mech'!$O$34)/S94,(T94*'DR-Hyd'!$O$24+'DR-Hyd'!$O$34)/S94)))</f>
        <v>0</v>
      </c>
      <c r="Z94" s="301">
        <f t="shared" si="56"/>
        <v>37.702101301682696</v>
      </c>
      <c r="AA94" s="301">
        <f t="shared" si="57"/>
        <v>43.357416496935095</v>
      </c>
      <c r="AB94" s="302" t="str">
        <f t="shared" si="58"/>
        <v>High</v>
      </c>
      <c r="AC94" s="303">
        <f t="shared" si="59"/>
        <v>5.2002984389348028E-2</v>
      </c>
      <c r="AD94" s="404">
        <f t="shared" si="60"/>
        <v>5787.3457465736055</v>
      </c>
      <c r="AE94" s="61">
        <f t="shared" si="61"/>
        <v>0.75404202603365389</v>
      </c>
      <c r="AF94" s="61">
        <f t="shared" si="62"/>
        <v>0.90485043124038467</v>
      </c>
      <c r="AG94" s="61">
        <f t="shared" si="63"/>
        <v>1.1310630390504808</v>
      </c>
      <c r="AH94" s="301">
        <f t="shared" si="64"/>
        <v>2.7899554963245192</v>
      </c>
      <c r="AI94" s="301">
        <f t="shared" si="65"/>
        <v>3.2084488207731967</v>
      </c>
      <c r="AJ94" s="310">
        <f t="shared" si="66"/>
        <v>40.492056798007212</v>
      </c>
      <c r="AK94" s="311">
        <f t="shared" si="67"/>
        <v>46.565865317708287</v>
      </c>
      <c r="AL94" s="42" t="s">
        <v>139</v>
      </c>
      <c r="AM94" s="14">
        <v>1105</v>
      </c>
      <c r="AN94" s="14"/>
      <c r="AO94" s="4">
        <v>82</v>
      </c>
      <c r="AP94" s="5">
        <f t="shared" si="46"/>
        <v>41</v>
      </c>
      <c r="AQ94" s="6" t="s">
        <v>136</v>
      </c>
      <c r="AR94" s="6" t="s">
        <v>140</v>
      </c>
      <c r="AS94" s="3" t="s">
        <v>8</v>
      </c>
      <c r="AT94" s="4">
        <v>-5.4</v>
      </c>
      <c r="AU94" s="3"/>
      <c r="AV94" s="4"/>
      <c r="AW94" s="4"/>
      <c r="AX94" s="4"/>
      <c r="AY94" s="19"/>
      <c r="AZ94" s="19"/>
      <c r="BA94" s="6"/>
      <c r="BB94" s="6"/>
      <c r="BC94" s="6"/>
      <c r="BD94" s="6" t="s">
        <v>141</v>
      </c>
      <c r="BE94" s="6" t="s">
        <v>27</v>
      </c>
      <c r="BF94" s="3"/>
      <c r="BG94" s="3" t="s">
        <v>28</v>
      </c>
      <c r="BH94" s="6"/>
      <c r="BI94" s="3"/>
      <c r="BJ94" s="3"/>
      <c r="BK94" s="7" t="s">
        <v>61</v>
      </c>
      <c r="BL94" t="s">
        <v>370</v>
      </c>
      <c r="BM94">
        <v>6</v>
      </c>
      <c r="BN94">
        <v>1</v>
      </c>
      <c r="BO94" t="s">
        <v>91</v>
      </c>
      <c r="BP94" t="s">
        <v>372</v>
      </c>
      <c r="BQ94" t="s">
        <v>373</v>
      </c>
      <c r="BR94" t="s">
        <v>219</v>
      </c>
      <c r="BS94"/>
      <c r="BU94" s="1"/>
      <c r="BV94" s="1"/>
      <c r="BW94" s="1"/>
      <c r="BX94" s="1"/>
    </row>
    <row r="95" spans="1:76" hidden="1" x14ac:dyDescent="0.25">
      <c r="B95" s="42" t="s">
        <v>142</v>
      </c>
      <c r="C95" t="s">
        <v>370</v>
      </c>
      <c r="D95" t="str">
        <f t="shared" si="47"/>
        <v>48-Private</v>
      </c>
      <c r="E95" t="s">
        <v>650</v>
      </c>
      <c r="F95">
        <v>6</v>
      </c>
      <c r="G95">
        <f t="shared" si="48"/>
        <v>21</v>
      </c>
      <c r="H95" s="248" t="s">
        <v>423</v>
      </c>
      <c r="I95" s="248" t="s">
        <v>427</v>
      </c>
      <c r="J95" s="248" t="s">
        <v>586</v>
      </c>
      <c r="K95" s="61">
        <f t="shared" si="49"/>
        <v>0.61384822115190785</v>
      </c>
      <c r="L95" s="60">
        <f>IF(I95="Mechanical",(('Mob-Mech'!$E$47+'Demob-Mech'!$E$42)/G95),(('Mob-Hyd'!$E$47+'Demob-Hyd'!$E$42)/G95))</f>
        <v>32123.33010272</v>
      </c>
      <c r="M95" s="56">
        <f t="shared" si="50"/>
        <v>-4.5985714285714296</v>
      </c>
      <c r="N95" s="56">
        <f t="shared" si="51"/>
        <v>4.5985714285714296</v>
      </c>
      <c r="O95" t="str">
        <f t="shared" si="52"/>
        <v>Averaged</v>
      </c>
      <c r="P95" s="58">
        <f t="shared" si="53"/>
        <v>8737.5630884353759</v>
      </c>
      <c r="Q95" s="249">
        <v>1.1000000000000001</v>
      </c>
      <c r="R95" s="58">
        <f t="shared" si="54"/>
        <v>9611.319397278914</v>
      </c>
      <c r="S95" s="58">
        <f>R95*'PrismQC Vols'!$G$14</f>
        <v>648.90914230935232</v>
      </c>
      <c r="T95" s="282">
        <f>IF(I95="Mechanical",S95/Prod!$D$21,S95/Prod!$D$11)</f>
        <v>0.98881393113806071</v>
      </c>
      <c r="U95" s="61">
        <f>IF(I95="Hydraulic",(T95*('DR-Hyd'!$O$13+'DR-Hyd'!$O$18+'DR-Hyd'!$O$24)/S95),(T95*('DR-Mech'!$O$13+'DR-Mech'!$O$18+'DR-Mech'!$O$24)/S95))</f>
        <v>15.253427281310477</v>
      </c>
      <c r="V95" s="61">
        <f>IF(I95="Hydraulic",(T95*'DR-Hyd'!$O$34)/S95,(T95*'DR-Mech'!$O$34)/S95)+5</f>
        <v>19.221610773333332</v>
      </c>
      <c r="W95" s="61">
        <f>IF(I95="Hydraulic",(Overhead!$F$39/S95)+((Overhead!$D$39/Table!G95)/S95),(Overhead!$K$39/S95)+((Overhead!I129/Table!G95)/S95))</f>
        <v>2.6285138480196197</v>
      </c>
      <c r="X95" s="61">
        <f t="shared" si="55"/>
        <v>1</v>
      </c>
      <c r="Y95" s="61">
        <f>IF(H95="Upland",0,(IF(I95="Mechanical",(T95*'DR-Mech'!$O$24+'DR-Mech'!$O$34)/S95,(T95*'DR-Hyd'!$O$24+'DR-Hyd'!$O$34)/S95)))</f>
        <v>0</v>
      </c>
      <c r="Z95" s="301">
        <f t="shared" si="56"/>
        <v>38.103551902663433</v>
      </c>
      <c r="AA95" s="301">
        <f t="shared" si="57"/>
        <v>43.819084688062944</v>
      </c>
      <c r="AB95" s="302" t="str">
        <f t="shared" si="58"/>
        <v>High</v>
      </c>
      <c r="AC95" s="303">
        <f t="shared" si="59"/>
        <v>4.2734159779614325E-2</v>
      </c>
      <c r="AD95" s="404">
        <f t="shared" si="60"/>
        <v>4755.8300881786854</v>
      </c>
      <c r="AE95" s="61">
        <f t="shared" si="61"/>
        <v>0.7620710380532687</v>
      </c>
      <c r="AF95" s="61">
        <f t="shared" si="62"/>
        <v>0.91448524566392242</v>
      </c>
      <c r="AG95" s="61">
        <f t="shared" si="63"/>
        <v>1.1431065570799031</v>
      </c>
      <c r="AH95" s="301">
        <f t="shared" si="64"/>
        <v>2.8196628407970943</v>
      </c>
      <c r="AI95" s="301">
        <f t="shared" si="65"/>
        <v>3.2426122669166584</v>
      </c>
      <c r="AJ95" s="310">
        <f t="shared" si="66"/>
        <v>40.923214743460527</v>
      </c>
      <c r="AK95" s="311">
        <f t="shared" si="67"/>
        <v>47.061696954979602</v>
      </c>
      <c r="AL95" s="42" t="s">
        <v>142</v>
      </c>
      <c r="AM95" s="14">
        <v>1020</v>
      </c>
      <c r="AN95" s="14"/>
      <c r="AO95" s="4">
        <v>73</v>
      </c>
      <c r="AP95" s="5">
        <f t="shared" ref="AP95:AP126" si="68">0.5*AO95</f>
        <v>36.5</v>
      </c>
      <c r="AQ95" s="6" t="s">
        <v>140</v>
      </c>
      <c r="AR95" s="6" t="s">
        <v>143</v>
      </c>
      <c r="AS95" s="3" t="s">
        <v>8</v>
      </c>
      <c r="AT95" s="4">
        <v>-5.4</v>
      </c>
      <c r="AU95" s="3"/>
      <c r="AV95" s="4"/>
      <c r="AW95" s="4"/>
      <c r="AX95" s="4"/>
      <c r="AY95" s="4"/>
      <c r="AZ95" s="4"/>
      <c r="BA95" s="6"/>
      <c r="BB95" s="6"/>
      <c r="BC95" s="6" t="s">
        <v>144</v>
      </c>
      <c r="BD95" s="6" t="s">
        <v>145</v>
      </c>
      <c r="BE95" s="6" t="s">
        <v>27</v>
      </c>
      <c r="BF95" s="3" t="s">
        <v>79</v>
      </c>
      <c r="BG95" s="3" t="s">
        <v>28</v>
      </c>
      <c r="BH95" s="6"/>
      <c r="BI95" s="3"/>
      <c r="BJ95" s="3"/>
      <c r="BK95" s="7" t="s">
        <v>61</v>
      </c>
      <c r="BL95" t="s">
        <v>370</v>
      </c>
      <c r="BM95">
        <v>6</v>
      </c>
      <c r="BN95">
        <v>1</v>
      </c>
      <c r="BO95" t="s">
        <v>91</v>
      </c>
      <c r="BP95" t="s">
        <v>372</v>
      </c>
      <c r="BQ95" t="s">
        <v>373</v>
      </c>
      <c r="BR95" t="s">
        <v>219</v>
      </c>
      <c r="BS95"/>
    </row>
    <row r="96" spans="1:76" hidden="1" x14ac:dyDescent="0.25">
      <c r="A96" s="45"/>
      <c r="B96" s="40" t="s">
        <v>146</v>
      </c>
      <c r="C96" t="s">
        <v>370</v>
      </c>
      <c r="D96" t="str">
        <f t="shared" si="47"/>
        <v>49-Private</v>
      </c>
      <c r="E96" t="s">
        <v>650</v>
      </c>
      <c r="F96">
        <v>6</v>
      </c>
      <c r="G96">
        <f t="shared" si="48"/>
        <v>21</v>
      </c>
      <c r="H96" s="248" t="s">
        <v>423</v>
      </c>
      <c r="I96" s="248" t="s">
        <v>427</v>
      </c>
      <c r="J96" s="248" t="s">
        <v>586</v>
      </c>
      <c r="K96" s="61">
        <f t="shared" si="49"/>
        <v>0.61184165347222308</v>
      </c>
      <c r="L96" s="60">
        <f>IF(I96="Mechanical",(('Mob-Mech'!$E$47+'Demob-Mech'!$E$42)/G96),(('Mob-Hyd'!$E$47+'Demob-Hyd'!$E$42)/G96))</f>
        <v>32123.33010272</v>
      </c>
      <c r="M96" s="56">
        <f t="shared" si="50"/>
        <v>-5.1700000000000008</v>
      </c>
      <c r="N96" s="56">
        <f t="shared" si="51"/>
        <v>5.1700000000000008</v>
      </c>
      <c r="O96" t="str">
        <f t="shared" si="52"/>
        <v>Actual</v>
      </c>
      <c r="P96" s="58">
        <f t="shared" si="53"/>
        <v>9172.1946555555587</v>
      </c>
      <c r="Q96" s="249">
        <v>1.1000000000000001</v>
      </c>
      <c r="R96" s="58">
        <f t="shared" si="54"/>
        <v>10089.414121111115</v>
      </c>
      <c r="S96" s="58">
        <f>R96*'PrismQC Vols'!$G$14</f>
        <v>681.18775301418566</v>
      </c>
      <c r="T96" s="282">
        <f>IF(I96="Mechanical",S96/Prod!$D$21,S96/Prod!$D$11)</f>
        <v>1.0380003855454258</v>
      </c>
      <c r="U96" s="61">
        <f>IF(I96="Hydraulic",(T96*('DR-Hyd'!$O$13+'DR-Hyd'!$O$18+'DR-Hyd'!$O$24)/S96),(T96*('DR-Mech'!$O$13+'DR-Mech'!$O$18+'DR-Mech'!$O$24)/S96))</f>
        <v>15.253427281310477</v>
      </c>
      <c r="V96" s="61">
        <f>IF(I96="Hydraulic",(T96*'DR-Hyd'!$O$34)/S96,(T96*'DR-Mech'!$O$34)/S96)+5</f>
        <v>19.221610773333335</v>
      </c>
      <c r="W96" s="61">
        <f>IF(I96="Hydraulic",(Overhead!$F$39/S96)+((Overhead!$D$39/Table!G96)/S96),(Overhead!$K$39/S96)+((Overhead!I130/Table!G96)/S96))</f>
        <v>2.5039596779584885</v>
      </c>
      <c r="X96" s="61">
        <f t="shared" si="55"/>
        <v>1</v>
      </c>
      <c r="Y96" s="61">
        <f>IF(H96="Upland",0,(IF(I96="Mechanical",(T96*'DR-Mech'!$O$24+'DR-Mech'!$O$34)/S96,(T96*'DR-Hyd'!$O$24+'DR-Hyd'!$O$34)/S96)))</f>
        <v>0</v>
      </c>
      <c r="Z96" s="301">
        <f t="shared" si="56"/>
        <v>37.978997732602302</v>
      </c>
      <c r="AA96" s="301">
        <f t="shared" si="57"/>
        <v>43.675847392492642</v>
      </c>
      <c r="AB96" s="302" t="str">
        <f t="shared" si="58"/>
        <v>High</v>
      </c>
      <c r="AC96" s="303">
        <f t="shared" si="59"/>
        <v>3.858643250688705E-2</v>
      </c>
      <c r="AD96" s="404">
        <f t="shared" si="60"/>
        <v>4294.2348149142827</v>
      </c>
      <c r="AE96" s="61">
        <f t="shared" si="61"/>
        <v>0.75957995465204609</v>
      </c>
      <c r="AF96" s="61">
        <f t="shared" si="62"/>
        <v>0.91149594558245528</v>
      </c>
      <c r="AG96" s="61">
        <f t="shared" si="63"/>
        <v>1.139369931978069</v>
      </c>
      <c r="AH96" s="301">
        <f t="shared" si="64"/>
        <v>2.8104458322125705</v>
      </c>
      <c r="AI96" s="301">
        <f t="shared" si="65"/>
        <v>3.232012707044456</v>
      </c>
      <c r="AJ96" s="310">
        <f t="shared" si="66"/>
        <v>40.789443564814874</v>
      </c>
      <c r="AK96" s="311">
        <f t="shared" si="67"/>
        <v>46.907860099537103</v>
      </c>
      <c r="AL96" s="40" t="s">
        <v>146</v>
      </c>
      <c r="AM96" s="17">
        <v>921</v>
      </c>
      <c r="AN96" s="17"/>
      <c r="AO96" s="19">
        <v>73</v>
      </c>
      <c r="AP96" s="19">
        <f t="shared" si="68"/>
        <v>36.5</v>
      </c>
      <c r="AQ96" s="20" t="s">
        <v>143</v>
      </c>
      <c r="AR96" s="20" t="s">
        <v>147</v>
      </c>
      <c r="AS96" s="16" t="s">
        <v>8</v>
      </c>
      <c r="AT96" s="19">
        <v>-5.4</v>
      </c>
      <c r="AU96" s="16"/>
      <c r="AV96" s="19"/>
      <c r="AW96" s="19">
        <f>AT96</f>
        <v>-5.4</v>
      </c>
      <c r="AX96" s="19">
        <f>AW96+(0.57-0.34)</f>
        <v>-5.1700000000000008</v>
      </c>
      <c r="AY96" s="4"/>
      <c r="AZ96" s="4"/>
      <c r="BA96" s="20"/>
      <c r="BB96" s="20"/>
      <c r="BC96" s="20" t="s">
        <v>91</v>
      </c>
      <c r="BD96" s="20" t="s">
        <v>11</v>
      </c>
      <c r="BE96" s="20" t="s">
        <v>27</v>
      </c>
      <c r="BF96" s="16"/>
      <c r="BG96" s="16" t="s">
        <v>28</v>
      </c>
      <c r="BH96" s="20"/>
      <c r="BI96" s="16"/>
      <c r="BJ96" s="16"/>
      <c r="BK96" s="21" t="s">
        <v>61</v>
      </c>
      <c r="BL96" t="s">
        <v>370</v>
      </c>
      <c r="BM96">
        <v>6</v>
      </c>
      <c r="BN96">
        <v>1</v>
      </c>
      <c r="BO96" t="s">
        <v>91</v>
      </c>
      <c r="BP96" t="s">
        <v>372</v>
      </c>
      <c r="BQ96" t="s">
        <v>373</v>
      </c>
      <c r="BR96" t="s">
        <v>219</v>
      </c>
      <c r="BS96"/>
    </row>
    <row r="97" spans="1:76" hidden="1" x14ac:dyDescent="0.25">
      <c r="B97" s="42" t="s">
        <v>148</v>
      </c>
      <c r="C97" t="s">
        <v>370</v>
      </c>
      <c r="D97" t="str">
        <f t="shared" si="47"/>
        <v>50-Private</v>
      </c>
      <c r="E97" t="s">
        <v>650</v>
      </c>
      <c r="F97">
        <v>6</v>
      </c>
      <c r="G97">
        <f t="shared" si="48"/>
        <v>21</v>
      </c>
      <c r="H97" s="248" t="s">
        <v>423</v>
      </c>
      <c r="I97" s="248" t="s">
        <v>427</v>
      </c>
      <c r="J97" s="248" t="s">
        <v>586</v>
      </c>
      <c r="K97" s="61">
        <f t="shared" si="49"/>
        <v>0.62437457394727747</v>
      </c>
      <c r="L97" s="60">
        <f>IF(I97="Mechanical",(('Mob-Mech'!$E$47+'Demob-Mech'!$E$42)/G97),(('Mob-Hyd'!$E$47+'Demob-Hyd'!$E$42)/G97))</f>
        <v>32123.33010272</v>
      </c>
      <c r="M97" s="56">
        <f t="shared" si="50"/>
        <v>-4.5985714285714296</v>
      </c>
      <c r="N97" s="56">
        <f t="shared" si="51"/>
        <v>4.5985714285714296</v>
      </c>
      <c r="O97" t="str">
        <f t="shared" si="52"/>
        <v>Averaged</v>
      </c>
      <c r="P97" s="58">
        <f t="shared" si="53"/>
        <v>6997.9811816326555</v>
      </c>
      <c r="Q97" s="249">
        <v>1.1000000000000001</v>
      </c>
      <c r="R97" s="58">
        <f t="shared" si="54"/>
        <v>7697.7792997959214</v>
      </c>
      <c r="S97" s="58">
        <f>R97*'PrismQC Vols'!$G$14</f>
        <v>519.71630081624915</v>
      </c>
      <c r="T97" s="282">
        <f>IF(I97="Mechanical",S97/Prod!$D$21,S97/Prod!$D$11)</f>
        <v>0.79194864886285588</v>
      </c>
      <c r="U97" s="61">
        <f>IF(I97="Hydraulic",(T97*('DR-Hyd'!$O$13+'DR-Hyd'!$O$18+'DR-Hyd'!$O$24)/S97),(T97*('DR-Mech'!$O$13+'DR-Mech'!$O$18+'DR-Mech'!$O$24)/S97))</f>
        <v>15.253427281310477</v>
      </c>
      <c r="V97" s="61">
        <f>IF(I97="Hydraulic",(T97*'DR-Hyd'!$O$34)/S97,(T97*'DR-Mech'!$O$34)/S97)+5</f>
        <v>19.221610773333335</v>
      </c>
      <c r="W97" s="61">
        <f>IF(I97="Hydraulic",(Overhead!$F$39/S97)+((Overhead!$D$39/Table!G97)/S97),(Overhead!$K$39/S97)+((Overhead!I131/Table!G97)/S97))</f>
        <v>3.2819187391040137</v>
      </c>
      <c r="X97" s="61">
        <f t="shared" si="55"/>
        <v>1</v>
      </c>
      <c r="Y97" s="61">
        <f>IF(H97="Upland",0,(IF(I97="Mechanical",(T97*'DR-Mech'!$O$24+'DR-Mech'!$O$34)/S97,(T97*'DR-Hyd'!$O$24+'DR-Hyd'!$O$34)/S97)))</f>
        <v>0</v>
      </c>
      <c r="Z97" s="301">
        <f t="shared" si="56"/>
        <v>38.756956793747825</v>
      </c>
      <c r="AA97" s="301">
        <f t="shared" si="57"/>
        <v>44.570500312809997</v>
      </c>
      <c r="AB97" s="302" t="str">
        <f t="shared" si="58"/>
        <v>High</v>
      </c>
      <c r="AC97" s="303">
        <f t="shared" si="59"/>
        <v>3.4478305785123967E-2</v>
      </c>
      <c r="AD97" s="404">
        <f t="shared" si="60"/>
        <v>3837.0466364133026</v>
      </c>
      <c r="AE97" s="61">
        <f t="shared" si="61"/>
        <v>0.77513913587495653</v>
      </c>
      <c r="AF97" s="61">
        <f t="shared" si="62"/>
        <v>0.93016696304994784</v>
      </c>
      <c r="AG97" s="61">
        <f t="shared" si="63"/>
        <v>1.1627087038124346</v>
      </c>
      <c r="AH97" s="301">
        <f t="shared" si="64"/>
        <v>2.8680148027373393</v>
      </c>
      <c r="AI97" s="301">
        <f t="shared" si="65"/>
        <v>3.2982170231479402</v>
      </c>
      <c r="AJ97" s="310">
        <f t="shared" si="66"/>
        <v>41.624971596485167</v>
      </c>
      <c r="AK97" s="311">
        <f t="shared" si="67"/>
        <v>47.868717335957939</v>
      </c>
      <c r="AL97" s="42" t="s">
        <v>148</v>
      </c>
      <c r="AM97" s="14">
        <v>801</v>
      </c>
      <c r="AN97" s="14"/>
      <c r="AO97" s="4">
        <v>75</v>
      </c>
      <c r="AP97" s="5">
        <f t="shared" si="68"/>
        <v>37.5</v>
      </c>
      <c r="AQ97" s="6" t="s">
        <v>147</v>
      </c>
      <c r="AR97" s="6" t="s">
        <v>149</v>
      </c>
      <c r="AS97" s="3" t="s">
        <v>8</v>
      </c>
      <c r="AT97" s="4">
        <v>-5.4</v>
      </c>
      <c r="AU97" s="3"/>
      <c r="AV97" s="4"/>
      <c r="AW97" s="4"/>
      <c r="AX97" s="4"/>
      <c r="AY97" s="4"/>
      <c r="AZ97" s="4"/>
      <c r="BA97" s="6"/>
      <c r="BB97" s="6"/>
      <c r="BC97" s="6" t="s">
        <v>91</v>
      </c>
      <c r="BD97" s="6" t="s">
        <v>11</v>
      </c>
      <c r="BE97" s="6" t="s">
        <v>27</v>
      </c>
      <c r="BF97" s="3"/>
      <c r="BG97" s="3" t="s">
        <v>28</v>
      </c>
      <c r="BH97" s="6"/>
      <c r="BI97" s="3"/>
      <c r="BJ97" s="3"/>
      <c r="BK97" s="7" t="s">
        <v>61</v>
      </c>
      <c r="BL97" t="s">
        <v>370</v>
      </c>
      <c r="BM97">
        <v>6</v>
      </c>
      <c r="BN97">
        <v>1</v>
      </c>
      <c r="BO97" t="s">
        <v>91</v>
      </c>
      <c r="BP97" t="s">
        <v>372</v>
      </c>
      <c r="BQ97" t="s">
        <v>373</v>
      </c>
      <c r="BR97" t="s">
        <v>219</v>
      </c>
      <c r="BS97"/>
      <c r="BU97" s="27"/>
      <c r="BV97" s="27"/>
      <c r="BW97" s="27"/>
      <c r="BX97" s="27"/>
    </row>
    <row r="98" spans="1:76" hidden="1" x14ac:dyDescent="0.25">
      <c r="B98" s="42" t="s">
        <v>150</v>
      </c>
      <c r="C98" t="s">
        <v>370</v>
      </c>
      <c r="D98" t="str">
        <f t="shared" si="47"/>
        <v>51-Private</v>
      </c>
      <c r="E98" t="s">
        <v>650</v>
      </c>
      <c r="F98">
        <v>6</v>
      </c>
      <c r="G98">
        <f t="shared" si="48"/>
        <v>21</v>
      </c>
      <c r="H98" s="248" t="s">
        <v>423</v>
      </c>
      <c r="I98" s="248" t="s">
        <v>427</v>
      </c>
      <c r="J98" s="248" t="s">
        <v>586</v>
      </c>
      <c r="K98" s="61">
        <f t="shared" si="49"/>
        <v>0.63123521908352687</v>
      </c>
      <c r="L98" s="60">
        <f>IF(I98="Mechanical",(('Mob-Mech'!$E$47+'Demob-Mech'!$E$42)/G98),(('Mob-Hyd'!$E$47+'Demob-Hyd'!$E$42)/G98))</f>
        <v>32123.33010272</v>
      </c>
      <c r="M98" s="56">
        <f t="shared" si="50"/>
        <v>-4.5985714285714296</v>
      </c>
      <c r="N98" s="56">
        <f t="shared" si="51"/>
        <v>4.5985714285714296</v>
      </c>
      <c r="O98" t="str">
        <f t="shared" si="52"/>
        <v>Averaged</v>
      </c>
      <c r="P98" s="58">
        <f t="shared" si="53"/>
        <v>6194.2180496598658</v>
      </c>
      <c r="Q98" s="249">
        <v>1.1000000000000001</v>
      </c>
      <c r="R98" s="58">
        <f t="shared" si="54"/>
        <v>6813.6398546258533</v>
      </c>
      <c r="S98" s="58">
        <f>R98*'PrismQC Vols'!$G$14</f>
        <v>460.02354217068745</v>
      </c>
      <c r="T98" s="282">
        <f>IF(I98="Mechanical",S98/Prod!$D$21,S98/Prod!$D$11)</f>
        <v>0.70098825473628568</v>
      </c>
      <c r="U98" s="61">
        <f>IF(I98="Hydraulic",(T98*('DR-Hyd'!$O$13+'DR-Hyd'!$O$18+'DR-Hyd'!$O$24)/S98),(T98*('DR-Mech'!$O$13+'DR-Mech'!$O$18+'DR-Mech'!$O$24)/S98))</f>
        <v>15.253427281310477</v>
      </c>
      <c r="V98" s="61">
        <f>IF(I98="Hydraulic",(T98*'DR-Hyd'!$O$34)/S98,(T98*'DR-Mech'!$O$34)/S98)+5</f>
        <v>19.221610773333335</v>
      </c>
      <c r="W98" s="61">
        <f>IF(I98="Hydraulic",(Overhead!$F$39/S98)+((Overhead!$D$39/Table!G98)/S98),(Overhead!$K$39/S98)+((Overhead!I132/Table!G98)/S98))</f>
        <v>3.7077812553206138</v>
      </c>
      <c r="X98" s="61">
        <f t="shared" si="55"/>
        <v>1</v>
      </c>
      <c r="Y98" s="61">
        <f>IF(H98="Upland",0,(IF(I98="Mechanical",(T98*'DR-Mech'!$O$24+'DR-Mech'!$O$34)/S98,(T98*'DR-Hyd'!$O$24+'DR-Hyd'!$O$34)/S98)))</f>
        <v>0</v>
      </c>
      <c r="Z98" s="301">
        <f t="shared" si="56"/>
        <v>39.182819309964422</v>
      </c>
      <c r="AA98" s="301">
        <f t="shared" si="57"/>
        <v>45.06024220645908</v>
      </c>
      <c r="AB98" s="302" t="str">
        <f t="shared" si="58"/>
        <v>High</v>
      </c>
      <c r="AC98" s="303">
        <f t="shared" si="59"/>
        <v>3.0518250688705235E-2</v>
      </c>
      <c r="AD98" s="404">
        <f t="shared" si="60"/>
        <v>3396.3371600712003</v>
      </c>
      <c r="AE98" s="61">
        <f t="shared" si="61"/>
        <v>0.78365638619928846</v>
      </c>
      <c r="AF98" s="61">
        <f t="shared" si="62"/>
        <v>0.94038766343914615</v>
      </c>
      <c r="AG98" s="61">
        <f t="shared" si="63"/>
        <v>1.1754845792989326</v>
      </c>
      <c r="AH98" s="301">
        <f t="shared" si="64"/>
        <v>2.8995286289373672</v>
      </c>
      <c r="AI98" s="301">
        <f t="shared" si="65"/>
        <v>3.3344579232779719</v>
      </c>
      <c r="AJ98" s="310">
        <f t="shared" si="66"/>
        <v>42.08234793890179</v>
      </c>
      <c r="AK98" s="311">
        <f t="shared" si="67"/>
        <v>48.394700129737053</v>
      </c>
      <c r="AL98" s="42" t="s">
        <v>150</v>
      </c>
      <c r="AM98" s="14">
        <v>709</v>
      </c>
      <c r="AN98" s="14"/>
      <c r="AO98" s="4">
        <v>75</v>
      </c>
      <c r="AP98" s="5">
        <f t="shared" si="68"/>
        <v>37.5</v>
      </c>
      <c r="AQ98" s="6" t="s">
        <v>149</v>
      </c>
      <c r="AR98" s="6" t="s">
        <v>151</v>
      </c>
      <c r="AS98" s="3" t="s">
        <v>8</v>
      </c>
      <c r="AT98" s="4">
        <v>-5.4</v>
      </c>
      <c r="AU98" s="3"/>
      <c r="AV98" s="4"/>
      <c r="AW98" s="4"/>
      <c r="AX98" s="4"/>
      <c r="AY98" s="4"/>
      <c r="AZ98" s="4"/>
      <c r="BA98" s="6"/>
      <c r="BB98" s="6"/>
      <c r="BC98" s="6" t="s">
        <v>91</v>
      </c>
      <c r="BD98" s="6"/>
      <c r="BE98" s="6" t="s">
        <v>134</v>
      </c>
      <c r="BF98" s="3" t="s">
        <v>27</v>
      </c>
      <c r="BG98" s="3" t="s">
        <v>28</v>
      </c>
      <c r="BH98" s="6"/>
      <c r="BI98" s="3"/>
      <c r="BJ98" s="3"/>
      <c r="BK98" s="7" t="s">
        <v>61</v>
      </c>
      <c r="BL98" t="s">
        <v>370</v>
      </c>
      <c r="BM98">
        <v>6</v>
      </c>
      <c r="BN98">
        <v>1</v>
      </c>
      <c r="BO98" t="s">
        <v>91</v>
      </c>
      <c r="BP98" t="s">
        <v>372</v>
      </c>
      <c r="BQ98" t="s">
        <v>373</v>
      </c>
      <c r="BR98" t="s">
        <v>219</v>
      </c>
      <c r="BS98"/>
      <c r="BT98" s="27"/>
      <c r="BU98" s="22"/>
      <c r="BV98" s="22"/>
      <c r="BW98" s="22"/>
      <c r="BX98" s="22"/>
    </row>
    <row r="99" spans="1:76" ht="30" hidden="1" x14ac:dyDescent="0.25">
      <c r="B99" s="42" t="s">
        <v>152</v>
      </c>
      <c r="C99" t="s">
        <v>370</v>
      </c>
      <c r="D99" t="str">
        <f t="shared" si="47"/>
        <v>52-Private</v>
      </c>
      <c r="E99" t="s">
        <v>650</v>
      </c>
      <c r="F99">
        <v>6</v>
      </c>
      <c r="G99">
        <f t="shared" si="48"/>
        <v>21</v>
      </c>
      <c r="H99" s="248" t="s">
        <v>423</v>
      </c>
      <c r="I99" s="248" t="s">
        <v>427</v>
      </c>
      <c r="J99" s="248" t="s">
        <v>586</v>
      </c>
      <c r="K99" s="61">
        <f t="shared" si="49"/>
        <v>0.68252533927728742</v>
      </c>
      <c r="L99" s="60">
        <f>IF(I99="Mechanical",(('Mob-Mech'!$E$47+'Demob-Mech'!$E$42)/G99),(('Mob-Hyd'!$E$47+'Demob-Hyd'!$E$42)/G99))</f>
        <v>32123.33010272</v>
      </c>
      <c r="M99" s="56">
        <f t="shared" si="50"/>
        <v>-4.5985714285714296</v>
      </c>
      <c r="N99" s="56">
        <f t="shared" si="51"/>
        <v>4.5985714285714296</v>
      </c>
      <c r="O99" t="str">
        <f t="shared" si="52"/>
        <v>Averaged</v>
      </c>
      <c r="P99" s="58">
        <f t="shared" si="53"/>
        <v>3332.6156147392298</v>
      </c>
      <c r="Q99" s="249">
        <v>1.1000000000000001</v>
      </c>
      <c r="R99" s="58">
        <f t="shared" si="54"/>
        <v>3665.8771762131532</v>
      </c>
      <c r="S99" s="58">
        <f>R99*'PrismQC Vols'!$G$14</f>
        <v>247.50204585869679</v>
      </c>
      <c r="T99" s="282">
        <f>IF(I99="Mechanical",S99/Prod!$D$21,S99/Prod!$D$11)</f>
        <v>0.3771459746418237</v>
      </c>
      <c r="U99" s="61">
        <f>IF(I99="Hydraulic",(T99*('DR-Hyd'!$O$13+'DR-Hyd'!$O$18+'DR-Hyd'!$O$24)/S99),(T99*('DR-Mech'!$O$13+'DR-Mech'!$O$18+'DR-Mech'!$O$24)/S99))</f>
        <v>15.253427281310477</v>
      </c>
      <c r="V99" s="61">
        <f>IF(I99="Hydraulic",(T99*'DR-Hyd'!$O$34)/S99,(T99*'DR-Mech'!$O$34)/S99)+5</f>
        <v>19.221610773333335</v>
      </c>
      <c r="W99" s="61">
        <f>IF(I99="Hydraulic",(Overhead!$F$39/S99)+((Overhead!$D$39/Table!G99)/S99),(Overhead!$K$39/S99)+((Overhead!I133/Table!G99)/S99))</f>
        <v>6.8915255255726713</v>
      </c>
      <c r="X99" s="61">
        <f t="shared" si="55"/>
        <v>1</v>
      </c>
      <c r="Y99" s="61">
        <f>IF(H99="Upland",0,(IF(I99="Mechanical",(T99*'DR-Mech'!$O$24+'DR-Mech'!$O$34)/S99,(T99*'DR-Hyd'!$O$24+'DR-Hyd'!$O$34)/S99)))</f>
        <v>0</v>
      </c>
      <c r="Z99" s="301">
        <f t="shared" si="56"/>
        <v>42.366563580216479</v>
      </c>
      <c r="AA99" s="301">
        <f t="shared" si="57"/>
        <v>48.721548117248943</v>
      </c>
      <c r="AB99" s="302" t="str">
        <f t="shared" si="58"/>
        <v>High</v>
      </c>
      <c r="AC99" s="303">
        <f t="shared" si="59"/>
        <v>1.610996326905418E-2</v>
      </c>
      <c r="AD99" s="404">
        <f t="shared" si="60"/>
        <v>1792.8572465105519</v>
      </c>
      <c r="AE99" s="61">
        <f t="shared" si="61"/>
        <v>0.84733127160432964</v>
      </c>
      <c r="AF99" s="61">
        <f t="shared" si="62"/>
        <v>1.0167975259251956</v>
      </c>
      <c r="AG99" s="61">
        <f t="shared" si="63"/>
        <v>1.2709969074064944</v>
      </c>
      <c r="AH99" s="301">
        <f t="shared" si="64"/>
        <v>3.1351257049360193</v>
      </c>
      <c r="AI99" s="301">
        <f t="shared" si="65"/>
        <v>3.6053945606764217</v>
      </c>
      <c r="AJ99" s="310">
        <f t="shared" si="66"/>
        <v>45.501689285152494</v>
      </c>
      <c r="AK99" s="311">
        <f t="shared" si="67"/>
        <v>52.326942677925366</v>
      </c>
      <c r="AL99" s="42" t="s">
        <v>152</v>
      </c>
      <c r="AM99" s="14">
        <v>401</v>
      </c>
      <c r="AN99" s="14"/>
      <c r="AO99" s="4">
        <v>70</v>
      </c>
      <c r="AP99" s="5">
        <f t="shared" si="68"/>
        <v>35</v>
      </c>
      <c r="AQ99" s="6" t="s">
        <v>151</v>
      </c>
      <c r="AR99" s="6" t="s">
        <v>153</v>
      </c>
      <c r="AS99" s="3"/>
      <c r="AT99" s="4"/>
      <c r="AU99" s="3"/>
      <c r="AV99" s="4"/>
      <c r="AW99" s="4"/>
      <c r="AX99" s="4"/>
      <c r="AY99" s="4"/>
      <c r="AZ99" s="4"/>
      <c r="BA99" s="6" t="s">
        <v>154</v>
      </c>
      <c r="BB99" s="6" t="s">
        <v>155</v>
      </c>
      <c r="BC99" s="6" t="s">
        <v>10</v>
      </c>
      <c r="BD99" s="6" t="s">
        <v>156</v>
      </c>
      <c r="BE99" s="6" t="s">
        <v>157</v>
      </c>
      <c r="BF99" s="3"/>
      <c r="BG99" s="3" t="s">
        <v>28</v>
      </c>
      <c r="BH99" s="6"/>
      <c r="BI99" s="3"/>
      <c r="BJ99" s="3" t="s">
        <v>155</v>
      </c>
      <c r="BK99" s="7" t="s">
        <v>61</v>
      </c>
      <c r="BL99" t="s">
        <v>370</v>
      </c>
      <c r="BM99">
        <v>6</v>
      </c>
      <c r="BN99">
        <v>1</v>
      </c>
      <c r="BO99" t="s">
        <v>91</v>
      </c>
      <c r="BP99" t="s">
        <v>372</v>
      </c>
      <c r="BQ99" t="s">
        <v>373</v>
      </c>
      <c r="BR99" t="s">
        <v>219</v>
      </c>
      <c r="BS99"/>
      <c r="BT99" s="22"/>
      <c r="BU99" s="22"/>
      <c r="BV99" s="22"/>
      <c r="BW99" s="22"/>
      <c r="BX99" s="22"/>
    </row>
    <row r="100" spans="1:76" ht="30" hidden="1" x14ac:dyDescent="0.25">
      <c r="B100" s="42" t="s">
        <v>170</v>
      </c>
      <c r="C100" t="s">
        <v>370</v>
      </c>
      <c r="D100" t="str">
        <f t="shared" ref="D100:D131" si="69">B100&amp;"-"&amp;C100</f>
        <v>53-Private</v>
      </c>
      <c r="E100" t="s">
        <v>650</v>
      </c>
      <c r="F100">
        <v>6</v>
      </c>
      <c r="G100">
        <f t="shared" ref="G100:G131" si="70">COUNTIF(F:F,F100)</f>
        <v>21</v>
      </c>
      <c r="H100" s="248" t="s">
        <v>423</v>
      </c>
      <c r="I100" s="248" t="s">
        <v>427</v>
      </c>
      <c r="J100" s="248" t="s">
        <v>586</v>
      </c>
      <c r="K100" s="61">
        <f t="shared" si="49"/>
        <v>0.95970302143169217</v>
      </c>
      <c r="L100" s="60">
        <f>IF(I100="Mechanical",(('Mob-Mech'!$E$47+'Demob-Mech'!$E$42)/G100),(('Mob-Hyd'!$E$47+'Demob-Hyd'!$E$42)/G100))</f>
        <v>32123.33010272</v>
      </c>
      <c r="M100" s="56">
        <f t="shared" si="50"/>
        <v>-4.5985714285714296</v>
      </c>
      <c r="N100" s="56">
        <f t="shared" ref="N100:N131" si="71">M100*-1</f>
        <v>4.5985714285714296</v>
      </c>
      <c r="O100" t="str">
        <f t="shared" si="52"/>
        <v>Averaged</v>
      </c>
      <c r="P100" s="58">
        <f t="shared" ref="P100:P131" si="72">IF(O100="Actual",((ABS(((AP100+(AP100+(6*N100)))/2)*AX100*AM100))/27),((ABS(((AP100+(AP100+(6*N100)))/2)*N100*AM100))/27))</f>
        <v>953.10429387755141</v>
      </c>
      <c r="Q100" s="249">
        <v>1.1000000000000001</v>
      </c>
      <c r="R100" s="58">
        <f t="shared" ref="R100:R131" si="73">P100*Q100</f>
        <v>1048.4147232653067</v>
      </c>
      <c r="S100" s="58">
        <f>R100*'PrismQC Vols'!$G$14</f>
        <v>70.783819654479075</v>
      </c>
      <c r="T100" s="282">
        <f>IF(I100="Mechanical",S100/Prod!$D$21,S100/Prod!$D$11)</f>
        <v>0.10786105852111097</v>
      </c>
      <c r="U100" s="61">
        <f>IF(I100="Hydraulic",(T100*('DR-Hyd'!$O$13+'DR-Hyd'!$O$18+'DR-Hyd'!$O$24)/S100),(T100*('DR-Mech'!$O$13+'DR-Mech'!$O$18+'DR-Mech'!$O$24)/S100))</f>
        <v>15.253427281310476</v>
      </c>
      <c r="V100" s="61">
        <f>IF(I100="Hydraulic",(T100*'DR-Hyd'!$O$34)/S100,(T100*'DR-Mech'!$O$34)/S100)+5</f>
        <v>19.221610773333335</v>
      </c>
      <c r="W100" s="61">
        <f>IF(I100="Hydraulic",(Overhead!$F$39/S100)+((Overhead!$D$39/Table!G100)/S100),(Overhead!$K$39/S100)+((Overhead!I134/Table!G100)/S100))</f>
        <v>24.096844095057751</v>
      </c>
      <c r="X100" s="61">
        <f t="shared" si="55"/>
        <v>1</v>
      </c>
      <c r="Y100" s="61">
        <f>IF(H100="Upland",0,(IF(I100="Mechanical",(T100*'DR-Mech'!$O$24+'DR-Mech'!$O$34)/S100,(T100*'DR-Hyd'!$O$24+'DR-Hyd'!$O$34)/S100)))</f>
        <v>0</v>
      </c>
      <c r="Z100" s="301">
        <f t="shared" ref="Z100:Z131" si="74">SUM(U100:Y100)</f>
        <v>59.571882149701565</v>
      </c>
      <c r="AA100" s="301">
        <f t="shared" ref="AA100:AA131" si="75">Z100*1.15</f>
        <v>68.50766447215679</v>
      </c>
      <c r="AB100" s="302" t="str">
        <f t="shared" si="58"/>
        <v>High</v>
      </c>
      <c r="AC100" s="303">
        <f t="shared" ref="AC100:AC131" si="76">IF(AB100="high",(AP100*AM100*0.05)/43560,(AP100*AM100*0.025)/43560)</f>
        <v>3.6363636363636364E-3</v>
      </c>
      <c r="AD100" s="404">
        <f t="shared" ref="AD100:AD131" si="77">AC100*(275000/2.47105)</f>
        <v>404.6862669715303</v>
      </c>
      <c r="AE100" s="61">
        <f t="shared" si="61"/>
        <v>1.1914376429940314</v>
      </c>
      <c r="AF100" s="61">
        <f t="shared" si="62"/>
        <v>1.4297251715928376</v>
      </c>
      <c r="AG100" s="61">
        <f t="shared" si="63"/>
        <v>1.7871564644910469</v>
      </c>
      <c r="AH100" s="301">
        <f t="shared" ref="AH100:AH131" si="78">SUM(AE100:AG100)</f>
        <v>4.408319279077916</v>
      </c>
      <c r="AI100" s="301">
        <f t="shared" ref="AI100:AI131" si="79">AH100*1.15</f>
        <v>5.0695671709396031</v>
      </c>
      <c r="AJ100" s="310">
        <f t="shared" si="66"/>
        <v>63.98020142877948</v>
      </c>
      <c r="AK100" s="311">
        <f t="shared" ref="AK100:AK131" si="80">AJ100*1.15</f>
        <v>73.577231643096397</v>
      </c>
      <c r="AL100" s="42" t="s">
        <v>170</v>
      </c>
      <c r="AM100" s="14">
        <v>176</v>
      </c>
      <c r="AN100" s="14"/>
      <c r="AO100" s="4">
        <v>36</v>
      </c>
      <c r="AP100" s="5">
        <f t="shared" si="68"/>
        <v>18</v>
      </c>
      <c r="AQ100" s="6"/>
      <c r="AR100" s="6" t="s">
        <v>171</v>
      </c>
      <c r="AS100" s="3" t="s">
        <v>51</v>
      </c>
      <c r="AT100" s="4"/>
      <c r="AU100" s="3" t="s">
        <v>8</v>
      </c>
      <c r="AV100" s="4">
        <v>-5.4</v>
      </c>
      <c r="AW100" s="4"/>
      <c r="AX100" s="4"/>
      <c r="AY100" s="19"/>
      <c r="AZ100" s="19"/>
      <c r="BA100" s="6"/>
      <c r="BB100" s="6"/>
      <c r="BC100" s="6" t="s">
        <v>43</v>
      </c>
      <c r="BD100" s="6" t="s">
        <v>172</v>
      </c>
      <c r="BE100" s="6"/>
      <c r="BF100" s="3"/>
      <c r="BG100" s="3" t="s">
        <v>28</v>
      </c>
      <c r="BH100" s="6"/>
      <c r="BI100" s="3"/>
      <c r="BJ100" s="3"/>
      <c r="BK100" s="7" t="s">
        <v>61</v>
      </c>
      <c r="BL100" t="s">
        <v>370</v>
      </c>
      <c r="BM100">
        <v>6</v>
      </c>
      <c r="BN100">
        <v>1</v>
      </c>
      <c r="BO100" t="s">
        <v>219</v>
      </c>
      <c r="BP100" t="s">
        <v>372</v>
      </c>
      <c r="BQ100" t="s">
        <v>373</v>
      </c>
      <c r="BR100" t="s">
        <v>219</v>
      </c>
      <c r="BS100"/>
      <c r="BT100" s="22"/>
    </row>
    <row r="101" spans="1:76" ht="45" hidden="1" x14ac:dyDescent="0.25">
      <c r="A101" s="46" t="s">
        <v>363</v>
      </c>
      <c r="B101" s="41" t="s">
        <v>364</v>
      </c>
      <c r="C101" t="s">
        <v>378</v>
      </c>
      <c r="D101" t="str">
        <f t="shared" si="69"/>
        <v>54-Access</v>
      </c>
      <c r="E101" t="s">
        <v>651</v>
      </c>
      <c r="F101">
        <v>6</v>
      </c>
      <c r="G101">
        <f t="shared" si="70"/>
        <v>21</v>
      </c>
      <c r="H101" s="248" t="s">
        <v>423</v>
      </c>
      <c r="I101" s="248" t="s">
        <v>427</v>
      </c>
      <c r="J101" s="248" t="s">
        <v>586</v>
      </c>
      <c r="K101" s="61">
        <f t="shared" si="49"/>
        <v>0.57377731942074806</v>
      </c>
      <c r="L101" s="60">
        <f>IF(I101="Mechanical",(('Mob-Mech'!$E$47+'Demob-Mech'!$E$42)/G101),(('Mob-Hyd'!$E$47+'Demob-Hyd'!$E$42)/G101))</f>
        <v>32123.33010272</v>
      </c>
      <c r="M101" s="56">
        <f t="shared" si="50"/>
        <v>-4.5985714285714296</v>
      </c>
      <c r="N101" s="56">
        <f t="shared" si="71"/>
        <v>4.5985714285714296</v>
      </c>
      <c r="O101" t="str">
        <f t="shared" si="52"/>
        <v>Averaged</v>
      </c>
      <c r="P101" s="58">
        <f t="shared" si="72"/>
        <v>162674.14238571434</v>
      </c>
      <c r="Q101" s="249">
        <v>1.1000000000000001</v>
      </c>
      <c r="R101" s="58">
        <f t="shared" si="73"/>
        <v>178941.55662428579</v>
      </c>
      <c r="S101" s="58">
        <f>R101*'PrismQC Vols'!$G$14</f>
        <v>12081.25619729585</v>
      </c>
      <c r="T101" s="282">
        <f>IF(I101="Mechanical",S101/Prod!$D$21,S101/Prod!$D$11)</f>
        <v>18.409533253022246</v>
      </c>
      <c r="U101" s="61">
        <f>IF(I101="Hydraulic",(T101*('DR-Hyd'!$O$13+'DR-Hyd'!$O$18+'DR-Hyd'!$O$24)/S101),(T101*('DR-Mech'!$O$13+'DR-Mech'!$O$18+'DR-Mech'!$O$24)/S101))</f>
        <v>15.253427281310476</v>
      </c>
      <c r="V101" s="61">
        <f>IF(I101="Hydraulic",(T101*'DR-Hyd'!$O$34)/S101,(T101*'DR-Mech'!$O$34)/S101)+5</f>
        <v>19.221610773333332</v>
      </c>
      <c r="W101" s="61">
        <f>IF(I101="Hydraulic",(Overhead!$F$39/S101)+((Overhead!$D$39/Table!G101)/S101),(Overhead!$K$39/S101)+((Overhead!I135/Table!G101)/S101))</f>
        <v>0.14118289015743632</v>
      </c>
      <c r="X101" s="61">
        <f t="shared" si="55"/>
        <v>1</v>
      </c>
      <c r="Y101" s="61">
        <f>IF(H101="Upland",0,(IF(I101="Mechanical",(T101*'DR-Mech'!$O$24+'DR-Mech'!$O$34)/S101,(T101*'DR-Hyd'!$O$24+'DR-Hyd'!$O$34)/S101)))</f>
        <v>0</v>
      </c>
      <c r="Z101" s="301">
        <f t="shared" si="74"/>
        <v>35.616220944801242</v>
      </c>
      <c r="AA101" s="301">
        <f t="shared" si="75"/>
        <v>40.958654086521427</v>
      </c>
      <c r="AB101" s="302" t="str">
        <f t="shared" si="58"/>
        <v>High</v>
      </c>
      <c r="AC101" s="303">
        <f t="shared" si="76"/>
        <v>0.99956095041322313</v>
      </c>
      <c r="AD101" s="404">
        <f t="shared" si="77"/>
        <v>111239.86214914161</v>
      </c>
      <c r="AE101" s="61">
        <f t="shared" si="61"/>
        <v>0.71232441889602482</v>
      </c>
      <c r="AF101" s="61">
        <f t="shared" si="62"/>
        <v>0.85478930267522979</v>
      </c>
      <c r="AG101" s="61">
        <f t="shared" si="63"/>
        <v>1.0684866283440373</v>
      </c>
      <c r="AH101" s="301">
        <f t="shared" si="78"/>
        <v>2.635600349915292</v>
      </c>
      <c r="AI101" s="301">
        <f t="shared" si="79"/>
        <v>3.0309404024025857</v>
      </c>
      <c r="AJ101" s="310">
        <f t="shared" si="66"/>
        <v>38.251821294716535</v>
      </c>
      <c r="AK101" s="311">
        <f t="shared" si="80"/>
        <v>43.989594488924013</v>
      </c>
      <c r="AL101" s="41" t="s">
        <v>228</v>
      </c>
      <c r="AM101" s="29">
        <v>6111</v>
      </c>
      <c r="AN101" s="29"/>
      <c r="AO101" s="30">
        <v>285</v>
      </c>
      <c r="AP101" s="30">
        <f t="shared" si="68"/>
        <v>142.5</v>
      </c>
      <c r="AQ101" s="28"/>
      <c r="AR101" s="28"/>
      <c r="AS101" s="28"/>
      <c r="AT101" s="30"/>
      <c r="AU101" s="28"/>
      <c r="AV101" s="30"/>
      <c r="AW101" s="30"/>
      <c r="AX101" s="30"/>
      <c r="AY101" s="30"/>
      <c r="AZ101" s="30"/>
      <c r="BA101" s="31"/>
      <c r="BB101" s="31"/>
      <c r="BC101" s="31"/>
      <c r="BD101" s="31" t="s">
        <v>229</v>
      </c>
      <c r="BE101" s="31" t="s">
        <v>230</v>
      </c>
      <c r="BF101" s="28"/>
      <c r="BG101" s="28" t="s">
        <v>28</v>
      </c>
      <c r="BH101" s="31"/>
      <c r="BI101" s="28"/>
      <c r="BJ101" s="28"/>
      <c r="BK101" s="32" t="s">
        <v>61</v>
      </c>
      <c r="BL101" t="s">
        <v>378</v>
      </c>
      <c r="BM101">
        <v>6</v>
      </c>
      <c r="BN101">
        <v>1</v>
      </c>
      <c r="BO101" t="s">
        <v>374</v>
      </c>
      <c r="BP101" t="s">
        <v>375</v>
      </c>
      <c r="BQ101" t="s">
        <v>373</v>
      </c>
      <c r="BR101" t="s">
        <v>219</v>
      </c>
      <c r="BS101"/>
    </row>
    <row r="102" spans="1:76" ht="45" hidden="1" x14ac:dyDescent="0.25">
      <c r="A102" s="46" t="s">
        <v>397</v>
      </c>
      <c r="B102" s="40" t="s">
        <v>173</v>
      </c>
      <c r="C102" t="s">
        <v>378</v>
      </c>
      <c r="D102" t="str">
        <f t="shared" si="69"/>
        <v>55-Access</v>
      </c>
      <c r="E102" t="s">
        <v>651</v>
      </c>
      <c r="F102">
        <v>7</v>
      </c>
      <c r="G102">
        <f t="shared" si="70"/>
        <v>3</v>
      </c>
      <c r="H102" s="248" t="s">
        <v>423</v>
      </c>
      <c r="I102" s="248" t="s">
        <v>427</v>
      </c>
      <c r="J102" s="248" t="s">
        <v>586</v>
      </c>
      <c r="K102" s="61">
        <f t="shared" si="49"/>
        <v>0.58133611380774242</v>
      </c>
      <c r="L102" s="60">
        <f>IF(I102="Mechanical",(('Mob-Mech'!$E$47+'Demob-Mech'!$E$42)/G102),(('Mob-Hyd'!$E$47+'Demob-Hyd'!$E$42)/G102))</f>
        <v>224863.31071903999</v>
      </c>
      <c r="M102" s="56">
        <f t="shared" si="50"/>
        <v>-4.5985714285714296</v>
      </c>
      <c r="N102" s="56">
        <f t="shared" si="71"/>
        <v>4.5985714285714296</v>
      </c>
      <c r="O102" t="str">
        <f t="shared" si="52"/>
        <v>Averaged</v>
      </c>
      <c r="P102" s="58">
        <f t="shared" si="72"/>
        <v>37626.950367800462</v>
      </c>
      <c r="Q102" s="249">
        <v>1.1000000000000001</v>
      </c>
      <c r="R102" s="58">
        <f t="shared" si="73"/>
        <v>41389.645404580515</v>
      </c>
      <c r="S102" s="58">
        <f>R102*'PrismQC Vols'!$G$14</f>
        <v>2794.4258420522829</v>
      </c>
      <c r="T102" s="282">
        <f>IF(I102="Mechanical",S102/Prod!$D$21,S102/Prod!$D$11)</f>
        <v>4.2581727116987169</v>
      </c>
      <c r="U102" s="61">
        <f>IF(I102="Hydraulic",(T102*('DR-Hyd'!$O$13+'DR-Hyd'!$O$18+'DR-Hyd'!$O$24)/S102),(T102*('DR-Mech'!$O$13+'DR-Mech'!$O$18+'DR-Mech'!$O$24)/S102))</f>
        <v>15.253427281310477</v>
      </c>
      <c r="V102" s="61">
        <f>IF(I102="Hydraulic",(T102*'DR-Hyd'!$O$34)/S102,(T102*'DR-Mech'!$O$34)/S102)+5</f>
        <v>19.221610773333335</v>
      </c>
      <c r="W102" s="61">
        <f>IF(I102="Hydraulic",(Overhead!$F$39/S102)+((Overhead!$D$39/Table!G103)/S102),(Overhead!$K$39/S102)+((Overhead!I137/Table!G103)/S102))</f>
        <v>0.61038179686099336</v>
      </c>
      <c r="X102" s="61">
        <f t="shared" si="55"/>
        <v>1</v>
      </c>
      <c r="Y102" s="61">
        <f>IF(H102="Upland",0,(IF(I102="Mechanical",(T102*'DR-Mech'!$O$24+'DR-Mech'!$O$34)/S102,(T102*'DR-Hyd'!$O$24+'DR-Hyd'!$O$34)/S102)))</f>
        <v>0</v>
      </c>
      <c r="Z102" s="301">
        <f t="shared" si="74"/>
        <v>36.085419851504803</v>
      </c>
      <c r="AA102" s="301">
        <f t="shared" si="75"/>
        <v>41.498232829230517</v>
      </c>
      <c r="AB102" s="302" t="str">
        <f t="shared" si="58"/>
        <v>High</v>
      </c>
      <c r="AC102" s="303">
        <f t="shared" si="76"/>
        <v>0.23455004591368228</v>
      </c>
      <c r="AD102" s="404">
        <f t="shared" si="77"/>
        <v>26102.775187172509</v>
      </c>
      <c r="AE102" s="61">
        <f t="shared" si="61"/>
        <v>0.72170839703009604</v>
      </c>
      <c r="AF102" s="61">
        <f t="shared" si="62"/>
        <v>0.86605007643611531</v>
      </c>
      <c r="AG102" s="61">
        <f t="shared" si="63"/>
        <v>1.0825625955451441</v>
      </c>
      <c r="AH102" s="301">
        <f t="shared" si="78"/>
        <v>2.6703210690113552</v>
      </c>
      <c r="AI102" s="301">
        <f t="shared" si="79"/>
        <v>3.0708692293630584</v>
      </c>
      <c r="AJ102" s="310">
        <f t="shared" si="66"/>
        <v>38.75574092051616</v>
      </c>
      <c r="AK102" s="311">
        <f t="shared" si="80"/>
        <v>44.569102058593579</v>
      </c>
      <c r="AL102" s="40"/>
      <c r="AM102" s="17">
        <v>1202</v>
      </c>
      <c r="AN102" s="17"/>
      <c r="AO102" s="18">
        <v>340</v>
      </c>
      <c r="AP102" s="19">
        <f t="shared" si="68"/>
        <v>170</v>
      </c>
      <c r="AQ102" s="16"/>
      <c r="AR102" s="16"/>
      <c r="AS102" s="16"/>
      <c r="AT102" s="19"/>
      <c r="AU102" s="16"/>
      <c r="AV102" s="19"/>
      <c r="AW102" s="19"/>
      <c r="AX102" s="19"/>
      <c r="AY102" s="4"/>
      <c r="AZ102" s="4"/>
      <c r="BA102" s="20"/>
      <c r="BB102" s="20"/>
      <c r="BC102" s="20" t="s">
        <v>10</v>
      </c>
      <c r="BD102" s="20" t="s">
        <v>174</v>
      </c>
      <c r="BE102" s="20" t="s">
        <v>175</v>
      </c>
      <c r="BF102" s="16"/>
      <c r="BG102" s="16" t="s">
        <v>28</v>
      </c>
      <c r="BH102" s="20"/>
      <c r="BI102" s="16"/>
      <c r="BJ102" s="16"/>
      <c r="BK102" s="21" t="s">
        <v>61</v>
      </c>
      <c r="BL102" t="s">
        <v>378</v>
      </c>
      <c r="BM102">
        <v>7</v>
      </c>
      <c r="BN102">
        <v>1</v>
      </c>
      <c r="BO102" t="s">
        <v>91</v>
      </c>
      <c r="BP102" t="s">
        <v>372</v>
      </c>
      <c r="BQ102" t="s">
        <v>373</v>
      </c>
      <c r="BR102" t="s">
        <v>219</v>
      </c>
      <c r="BS102"/>
    </row>
    <row r="103" spans="1:76" ht="45" hidden="1" x14ac:dyDescent="0.25">
      <c r="A103" s="46" t="s">
        <v>397</v>
      </c>
      <c r="B103" s="40" t="s">
        <v>173</v>
      </c>
      <c r="C103" t="s">
        <v>370</v>
      </c>
      <c r="D103" t="str">
        <f t="shared" si="69"/>
        <v>55-Private</v>
      </c>
      <c r="E103" t="s">
        <v>650</v>
      </c>
      <c r="F103">
        <v>7</v>
      </c>
      <c r="G103">
        <f t="shared" si="70"/>
        <v>3</v>
      </c>
      <c r="H103" s="248" t="s">
        <v>423</v>
      </c>
      <c r="I103" s="248" t="s">
        <v>427</v>
      </c>
      <c r="J103" s="248" t="s">
        <v>586</v>
      </c>
      <c r="K103" s="61">
        <f t="shared" si="49"/>
        <v>0.58060183719303815</v>
      </c>
      <c r="L103" s="60">
        <f>IF(I103="Mechanical",(('Mob-Mech'!$E$47+'Demob-Mech'!$E$42)/G103),(('Mob-Hyd'!$E$47+'Demob-Hyd'!$E$42)/G103))</f>
        <v>224863.31071903999</v>
      </c>
      <c r="M103" s="56">
        <f t="shared" si="50"/>
        <v>-4.5985714285714296</v>
      </c>
      <c r="N103" s="56">
        <f t="shared" si="71"/>
        <v>4.5985714285714296</v>
      </c>
      <c r="O103" t="str">
        <f t="shared" si="52"/>
        <v>Averaged</v>
      </c>
      <c r="P103" s="58">
        <f t="shared" si="72"/>
        <v>40663.401437414977</v>
      </c>
      <c r="Q103" s="249">
        <v>1.1000000000000001</v>
      </c>
      <c r="R103" s="58">
        <f t="shared" si="73"/>
        <v>44729.741581156479</v>
      </c>
      <c r="S103" s="58">
        <f>R103*'PrismQC Vols'!$G$14</f>
        <v>3019.9327527669843</v>
      </c>
      <c r="T103" s="282">
        <f>IF(I103="Mechanical",S103/Prod!$D$21,S103/Prod!$D$11)</f>
        <v>4.6018022899306432</v>
      </c>
      <c r="U103" s="61">
        <f>IF(I103="Hydraulic",(T103*('DR-Hyd'!$O$13+'DR-Hyd'!$O$18+'DR-Hyd'!$O$24)/S103),(T103*('DR-Mech'!$O$13+'DR-Mech'!$O$18+'DR-Mech'!$O$24)/S103))</f>
        <v>15.253427281310477</v>
      </c>
      <c r="V103" s="61">
        <f>IF(I103="Hydraulic",(T103*'DR-Hyd'!$O$34)/S103,(T103*'DR-Mech'!$O$34)/S103)+5</f>
        <v>19.221610773333335</v>
      </c>
      <c r="W103" s="61">
        <f>IF(I103="Hydraulic",(Overhead!$F$39/S103)+((Overhead!$D$39/Table!G102)/S103),(Overhead!$K$39/S103)+((Overhead!I136/Table!G102)/S103))</f>
        <v>0.56480286360809395</v>
      </c>
      <c r="X103" s="61">
        <f t="shared" si="55"/>
        <v>1</v>
      </c>
      <c r="Y103" s="61">
        <f>IF(H103="Upland",0,(IF(I103="Mechanical",(T103*'DR-Mech'!$O$24+'DR-Mech'!$O$34)/S103,(T103*'DR-Hyd'!$O$24+'DR-Hyd'!$O$34)/S103)))</f>
        <v>0</v>
      </c>
      <c r="Z103" s="301">
        <f t="shared" si="74"/>
        <v>36.039840918251905</v>
      </c>
      <c r="AA103" s="301">
        <f t="shared" si="75"/>
        <v>41.445817055989686</v>
      </c>
      <c r="AB103" s="302" t="str">
        <f t="shared" si="58"/>
        <v>High</v>
      </c>
      <c r="AC103" s="303">
        <f t="shared" si="76"/>
        <v>0.25347796143250689</v>
      </c>
      <c r="AD103" s="404">
        <f t="shared" si="77"/>
        <v>28209.238742210557</v>
      </c>
      <c r="AE103" s="61">
        <f t="shared" si="61"/>
        <v>0.72079681836503806</v>
      </c>
      <c r="AF103" s="61">
        <f t="shared" si="62"/>
        <v>0.8649561820380457</v>
      </c>
      <c r="AG103" s="61">
        <f t="shared" si="63"/>
        <v>1.0811952275475571</v>
      </c>
      <c r="AH103" s="301">
        <f t="shared" si="78"/>
        <v>2.6669482279506411</v>
      </c>
      <c r="AI103" s="301">
        <f t="shared" si="79"/>
        <v>3.0669904621432371</v>
      </c>
      <c r="AJ103" s="310">
        <f t="shared" si="66"/>
        <v>38.706789146202546</v>
      </c>
      <c r="AK103" s="311">
        <f t="shared" si="80"/>
        <v>44.512807518132924</v>
      </c>
      <c r="AL103" s="40"/>
      <c r="AM103" s="17">
        <v>1299</v>
      </c>
      <c r="AN103" s="17"/>
      <c r="AO103" s="18">
        <v>340</v>
      </c>
      <c r="AP103" s="19">
        <f t="shared" si="68"/>
        <v>170</v>
      </c>
      <c r="AQ103" s="16"/>
      <c r="AR103" s="16"/>
      <c r="AS103" s="16"/>
      <c r="AT103" s="19"/>
      <c r="AU103" s="16"/>
      <c r="AV103" s="19"/>
      <c r="AW103" s="19"/>
      <c r="AX103" s="19"/>
      <c r="AY103" s="4"/>
      <c r="AZ103" s="4"/>
      <c r="BA103" s="20"/>
      <c r="BB103" s="20"/>
      <c r="BC103" s="20" t="s">
        <v>10</v>
      </c>
      <c r="BD103" s="20" t="s">
        <v>174</v>
      </c>
      <c r="BE103" s="20" t="s">
        <v>175</v>
      </c>
      <c r="BF103" s="16"/>
      <c r="BG103" s="16" t="s">
        <v>28</v>
      </c>
      <c r="BH103" s="20"/>
      <c r="BI103" s="16"/>
      <c r="BJ103" s="16"/>
      <c r="BK103" s="21" t="s">
        <v>61</v>
      </c>
      <c r="BL103" t="s">
        <v>370</v>
      </c>
      <c r="BM103">
        <v>7</v>
      </c>
      <c r="BN103">
        <v>1</v>
      </c>
      <c r="BO103" t="s">
        <v>91</v>
      </c>
      <c r="BP103" t="s">
        <v>372</v>
      </c>
      <c r="BQ103" t="s">
        <v>373</v>
      </c>
      <c r="BR103" t="s">
        <v>219</v>
      </c>
      <c r="BS103"/>
    </row>
    <row r="104" spans="1:76" ht="60" hidden="1" x14ac:dyDescent="0.25">
      <c r="A104" s="45"/>
      <c r="B104" s="40" t="s">
        <v>176</v>
      </c>
      <c r="C104" t="s">
        <v>378</v>
      </c>
      <c r="D104" t="str">
        <f t="shared" si="69"/>
        <v>55A-Access</v>
      </c>
      <c r="E104" t="s">
        <v>651</v>
      </c>
      <c r="F104">
        <v>7</v>
      </c>
      <c r="G104">
        <f t="shared" si="70"/>
        <v>3</v>
      </c>
      <c r="H104" s="248" t="s">
        <v>423</v>
      </c>
      <c r="I104" s="248" t="s">
        <v>427</v>
      </c>
      <c r="J104" s="248" t="s">
        <v>586</v>
      </c>
      <c r="K104" s="61">
        <f t="shared" si="49"/>
        <v>0.61411468311673811</v>
      </c>
      <c r="L104" s="60">
        <f>IF(I104="Mechanical",(('Mob-Mech'!$E$47+'Demob-Mech'!$E$42)/G104),(('Mob-Hyd'!$E$47+'Demob-Hyd'!$E$42)/G104))</f>
        <v>224863.31071903999</v>
      </c>
      <c r="M104" s="56">
        <f t="shared" si="50"/>
        <v>-4.5985714285714296</v>
      </c>
      <c r="N104" s="56">
        <f t="shared" si="71"/>
        <v>4.5985714285714296</v>
      </c>
      <c r="O104" t="str">
        <f t="shared" si="52"/>
        <v>Averaged</v>
      </c>
      <c r="P104" s="58">
        <f t="shared" si="72"/>
        <v>8682.9250038548798</v>
      </c>
      <c r="Q104" s="249">
        <v>1.1000000000000001</v>
      </c>
      <c r="R104" s="58">
        <f t="shared" si="73"/>
        <v>9551.2175042403687</v>
      </c>
      <c r="S104" s="58">
        <f>R104*'PrismQC Vols'!$G$14</f>
        <v>644.85135729038268</v>
      </c>
      <c r="T104" s="282">
        <f>IF(I104="Mechanical",S104/Prod!$D$21,S104/Prod!$D$11)</f>
        <v>0.98263063968058317</v>
      </c>
      <c r="U104" s="61">
        <f>IF(I104="Hydraulic",(T104*('DR-Hyd'!$O$13+'DR-Hyd'!$O$18+'DR-Hyd'!$O$24)/S104),(T104*('DR-Mech'!$O$13+'DR-Mech'!$O$18+'DR-Mech'!$O$24)/S104))</f>
        <v>15.253427281310477</v>
      </c>
      <c r="V104" s="61">
        <f>IF(I104="Hydraulic",(T104*'DR-Hyd'!$O$34)/S104,(T104*'DR-Mech'!$O$34)/S104)+5</f>
        <v>19.221610773333339</v>
      </c>
      <c r="W104" s="61">
        <f>IF(I104="Hydraulic",(Overhead!$F$39/S104)+((Overhead!$D$39/Table!G104)/S104),(Overhead!$K$39/S104)+((Overhead!I138/Table!G104)/S104))</f>
        <v>2.6450540072269537</v>
      </c>
      <c r="X104" s="61">
        <f t="shared" si="55"/>
        <v>1</v>
      </c>
      <c r="Y104" s="61">
        <f>IF(H104="Upland",0,(IF(I104="Mechanical",(T104*'DR-Mech'!$O$24+'DR-Mech'!$O$34)/S104,(T104*'DR-Hyd'!$O$24+'DR-Hyd'!$O$34)/S104)))</f>
        <v>0</v>
      </c>
      <c r="Z104" s="301">
        <f t="shared" si="74"/>
        <v>38.120092061870771</v>
      </c>
      <c r="AA104" s="301">
        <f t="shared" si="75"/>
        <v>43.838105871151384</v>
      </c>
      <c r="AB104" s="302" t="str">
        <f t="shared" si="58"/>
        <v>High</v>
      </c>
      <c r="AC104" s="303">
        <f t="shared" si="76"/>
        <v>4.8272497704315888E-2</v>
      </c>
      <c r="AD104" s="404">
        <f t="shared" si="77"/>
        <v>5372.1846456716248</v>
      </c>
      <c r="AE104" s="61">
        <f t="shared" si="61"/>
        <v>0.76240184123741539</v>
      </c>
      <c r="AF104" s="61">
        <f t="shared" si="62"/>
        <v>0.91488220948489851</v>
      </c>
      <c r="AG104" s="61">
        <f t="shared" si="63"/>
        <v>1.1436027618561231</v>
      </c>
      <c r="AH104" s="301">
        <f t="shared" si="78"/>
        <v>2.8208868125784372</v>
      </c>
      <c r="AI104" s="301">
        <f t="shared" si="79"/>
        <v>3.2440198344652025</v>
      </c>
      <c r="AJ104" s="310">
        <f t="shared" si="66"/>
        <v>40.940978874449208</v>
      </c>
      <c r="AK104" s="311">
        <f t="shared" si="80"/>
        <v>47.082125705616583</v>
      </c>
      <c r="AL104" s="40"/>
      <c r="AM104" s="17">
        <v>647</v>
      </c>
      <c r="AN104" s="17"/>
      <c r="AO104" s="19">
        <v>130</v>
      </c>
      <c r="AP104" s="19">
        <f t="shared" si="68"/>
        <v>65</v>
      </c>
      <c r="AQ104" s="16"/>
      <c r="AR104" s="16"/>
      <c r="AS104" s="16"/>
      <c r="AT104" s="19"/>
      <c r="AU104" s="16"/>
      <c r="AV104" s="19"/>
      <c r="AW104" s="19"/>
      <c r="AX104" s="19"/>
      <c r="AY104" s="4"/>
      <c r="AZ104" s="4"/>
      <c r="BA104" s="20"/>
      <c r="BB104" s="20"/>
      <c r="BC104" s="20" t="s">
        <v>85</v>
      </c>
      <c r="BD104" s="20" t="s">
        <v>177</v>
      </c>
      <c r="BE104" s="20" t="s">
        <v>178</v>
      </c>
      <c r="BF104" s="16"/>
      <c r="BG104" s="16" t="s">
        <v>28</v>
      </c>
      <c r="BH104" s="20"/>
      <c r="BI104" s="16"/>
      <c r="BJ104" s="16"/>
      <c r="BK104" s="21" t="s">
        <v>61</v>
      </c>
      <c r="BL104" t="s">
        <v>375</v>
      </c>
      <c r="BM104">
        <v>7</v>
      </c>
      <c r="BN104">
        <v>1</v>
      </c>
      <c r="BO104" t="s">
        <v>371</v>
      </c>
      <c r="BP104" t="s">
        <v>372</v>
      </c>
      <c r="BQ104" t="s">
        <v>373</v>
      </c>
      <c r="BR104" t="s">
        <v>219</v>
      </c>
      <c r="BS104"/>
    </row>
    <row r="105" spans="1:76" ht="45" hidden="1" x14ac:dyDescent="0.25">
      <c r="A105" s="47" t="s">
        <v>352</v>
      </c>
      <c r="B105" s="44" t="s">
        <v>258</v>
      </c>
      <c r="D105" t="str">
        <f t="shared" si="69"/>
        <v>14A-</v>
      </c>
      <c r="E105"/>
      <c r="G105"/>
      <c r="H105"/>
      <c r="I105"/>
      <c r="J105"/>
      <c r="K105" s="61"/>
      <c r="L105" s="60"/>
      <c r="M105" s="56"/>
      <c r="N105" s="56"/>
      <c r="O105"/>
      <c r="P105" s="58">
        <f>SUM(P91:P104)</f>
        <v>320551.31967913848</v>
      </c>
      <c r="Q105" s="56"/>
      <c r="R105" s="58"/>
      <c r="S105" s="58"/>
      <c r="T105" s="282"/>
      <c r="U105" s="61"/>
      <c r="V105" s="61"/>
      <c r="W105" s="61"/>
      <c r="X105" s="61"/>
      <c r="Y105" s="61"/>
      <c r="Z105" s="301"/>
      <c r="AA105" s="301"/>
      <c r="AB105" s="302"/>
      <c r="AC105" s="303"/>
      <c r="AD105" s="303"/>
      <c r="AE105" s="61"/>
      <c r="AF105" s="61"/>
      <c r="AG105" s="61"/>
      <c r="AH105" s="301"/>
      <c r="AI105" s="301">
        <f t="shared" si="79"/>
        <v>0</v>
      </c>
      <c r="AJ105" s="310"/>
      <c r="AK105" s="311"/>
      <c r="AL105" s="44"/>
      <c r="AM105" s="34">
        <v>0</v>
      </c>
      <c r="AN105" s="34"/>
      <c r="AO105" s="35">
        <v>127</v>
      </c>
      <c r="AP105" s="35">
        <f t="shared" si="68"/>
        <v>63.5</v>
      </c>
      <c r="AQ105" s="36"/>
      <c r="AR105" s="36"/>
      <c r="AS105" s="33"/>
      <c r="AT105" s="35"/>
      <c r="AU105" s="33"/>
      <c r="AV105" s="35"/>
      <c r="AW105" s="35"/>
      <c r="AX105" s="35"/>
      <c r="AY105" s="38"/>
      <c r="AZ105" s="38"/>
      <c r="BA105" s="36"/>
      <c r="BB105" s="36" t="s">
        <v>250</v>
      </c>
      <c r="BC105" s="36" t="s">
        <v>10</v>
      </c>
      <c r="BD105" s="36" t="s">
        <v>259</v>
      </c>
      <c r="BE105" s="36" t="s">
        <v>230</v>
      </c>
      <c r="BF105" s="33"/>
      <c r="BG105" s="33" t="s">
        <v>28</v>
      </c>
      <c r="BH105" s="36"/>
      <c r="BI105" s="33"/>
      <c r="BJ105" s="33"/>
      <c r="BK105" s="37" t="s">
        <v>14</v>
      </c>
    </row>
    <row r="106" spans="1:76" ht="45.75" hidden="1" thickBot="1" x14ac:dyDescent="0.3">
      <c r="A106" s="47" t="s">
        <v>353</v>
      </c>
      <c r="B106" s="44" t="s">
        <v>252</v>
      </c>
      <c r="D106" t="str">
        <f t="shared" si="69"/>
        <v>1A-</v>
      </c>
      <c r="E106"/>
      <c r="G106"/>
      <c r="H106"/>
      <c r="I106"/>
      <c r="J106"/>
      <c r="K106" s="61"/>
      <c r="L106" s="60"/>
      <c r="M106" s="56"/>
      <c r="N106" s="56"/>
      <c r="O106"/>
      <c r="P106" s="58">
        <f>P105*'PrismQC Vols'!G14</f>
        <v>21642.052804738822</v>
      </c>
      <c r="Q106" s="56"/>
      <c r="R106" s="58"/>
      <c r="S106" s="58"/>
      <c r="T106" s="282"/>
      <c r="U106" s="61"/>
      <c r="V106" s="61"/>
      <c r="W106" s="61"/>
      <c r="X106" s="61"/>
      <c r="Y106" s="61"/>
      <c r="Z106" s="301"/>
      <c r="AA106" s="301"/>
      <c r="AB106" s="302"/>
      <c r="AC106" s="303"/>
      <c r="AD106" s="303"/>
      <c r="AE106" s="61"/>
      <c r="AF106" s="61"/>
      <c r="AG106" s="61"/>
      <c r="AH106" s="301"/>
      <c r="AI106" s="301">
        <f t="shared" si="79"/>
        <v>0</v>
      </c>
      <c r="AJ106" s="312"/>
      <c r="AK106" s="313"/>
      <c r="AL106" s="44"/>
      <c r="AM106" s="34">
        <v>0</v>
      </c>
      <c r="AN106" s="34"/>
      <c r="AO106" s="35">
        <v>85</v>
      </c>
      <c r="AP106" s="35">
        <f t="shared" si="68"/>
        <v>42.5</v>
      </c>
      <c r="AQ106" s="36"/>
      <c r="AR106" s="36"/>
      <c r="AS106" s="33"/>
      <c r="AT106" s="35"/>
      <c r="AU106" s="33"/>
      <c r="AV106" s="35"/>
      <c r="AW106" s="35"/>
      <c r="AX106" s="35"/>
      <c r="AY106" s="38"/>
      <c r="AZ106" s="38"/>
      <c r="BA106" s="36"/>
      <c r="BB106" s="36"/>
      <c r="BC106" s="36"/>
      <c r="BD106" s="36" t="s">
        <v>253</v>
      </c>
      <c r="BE106" s="36" t="s">
        <v>134</v>
      </c>
      <c r="BF106" s="33" t="s">
        <v>134</v>
      </c>
      <c r="BG106" s="33" t="s">
        <v>28</v>
      </c>
      <c r="BH106" s="36"/>
      <c r="BI106" s="33"/>
      <c r="BJ106" s="33"/>
      <c r="BK106" s="37" t="s">
        <v>14</v>
      </c>
    </row>
    <row r="107" spans="1:76" hidden="1" x14ac:dyDescent="0.25">
      <c r="B107" s="1" t="s">
        <v>325</v>
      </c>
      <c r="D107" t="str">
        <f t="shared" si="69"/>
        <v>NOTES: yellow means canal in open water with no shoreline limitations; red text means canal split into two canals around shoal (one way traffic) -</v>
      </c>
      <c r="E107"/>
      <c r="G107"/>
      <c r="H107"/>
      <c r="I107"/>
      <c r="J107"/>
      <c r="K107" s="60"/>
      <c r="L107" s="60"/>
      <c r="M107" s="56"/>
      <c r="N107" s="56"/>
      <c r="O107"/>
      <c r="Q107" s="56"/>
      <c r="R107" s="58"/>
      <c r="S107" s="58"/>
      <c r="T107" s="282"/>
      <c r="U107" s="61"/>
      <c r="V107" s="61"/>
      <c r="W107" s="61"/>
      <c r="X107" s="61"/>
      <c r="Y107" s="61"/>
      <c r="Z107" s="301"/>
      <c r="AA107" s="301"/>
      <c r="AB107" s="302"/>
      <c r="AC107" s="303"/>
      <c r="AD107" s="303"/>
      <c r="AE107" s="61"/>
      <c r="AF107" s="61"/>
      <c r="AG107" s="61"/>
      <c r="AH107" s="301"/>
      <c r="AI107" s="301">
        <f t="shared" si="79"/>
        <v>0</v>
      </c>
      <c r="AJ107" s="301"/>
      <c r="AK107" s="301"/>
      <c r="AM107" s="1">
        <v>0</v>
      </c>
      <c r="BR107" t="s">
        <v>219</v>
      </c>
      <c r="BS107"/>
    </row>
  </sheetData>
  <autoFilter ref="A3:BX107" xr:uid="{00000000-0001-0000-0000-000000000000}">
    <filterColumn colId="5">
      <filters>
        <filter val="1"/>
      </filters>
    </filterColumn>
    <sortState xmlns:xlrd2="http://schemas.microsoft.com/office/spreadsheetml/2017/richdata2" ref="A4:BX107">
      <sortCondition ref="F3:F107"/>
    </sortState>
  </autoFilter>
  <sortState xmlns:xlrd2="http://schemas.microsoft.com/office/spreadsheetml/2017/richdata2" ref="B3:BJ92">
    <sortCondition ref="B3:B92"/>
  </sortState>
  <conditionalFormatting sqref="O4:O107">
    <cfRule type="containsText" dxfId="5" priority="6" operator="containsText" text="Averaged">
      <formula>NOT(ISERROR(SEARCH("Averaged",O4)))</formula>
    </cfRule>
    <cfRule type="containsText" dxfId="4" priority="7" operator="containsText" text="Averaged">
      <formula>NOT(ISERROR(SEARCH("Averaged",O4)))</formula>
    </cfRule>
  </conditionalFormatting>
  <conditionalFormatting sqref="E4:E106">
    <cfRule type="containsText" dxfId="3" priority="3" operator="containsText" text="Access Channel - General Benefit">
      <formula>NOT(ISERROR(SEARCH("Access Channel - General Benefit",E4)))</formula>
    </cfRule>
    <cfRule type="containsText" dxfId="2" priority="4" operator="containsText" text="Arterial Channel - Cost Share Benefit">
      <formula>NOT(ISERROR(SEARCH("Arterial Channel - Cost Share Benefit",E4)))</formula>
    </cfRule>
    <cfRule type="containsText" dxfId="1" priority="5" operator="containsText" text="Local Canal - Direct Benefit">
      <formula>NOT(ISERROR(SEARCH("Local Canal - Direct Benefit",E4)))</formula>
    </cfRule>
  </conditionalFormatting>
  <pageMargins left="0.7" right="0.7" top="0.75" bottom="0.75" header="0.3" footer="0.3"/>
  <pageSetup scale="2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039B392-AE8F-4CCA-B3A1-8457FD2FCFB6}">
          <x14:formula1>
            <xm:f>Lists!$A$4:$A$5</xm:f>
          </x14:formula1>
          <xm:sqref>H4:H104 H107</xm:sqref>
        </x14:dataValidation>
        <x14:dataValidation type="list" allowBlank="1" showInputMessage="1" showErrorMessage="1" xr:uid="{19D98675-FF23-4236-888D-611CEF538A09}">
          <x14:formula1>
            <xm:f>Lists!$B$4:$B$5</xm:f>
          </x14:formula1>
          <xm:sqref>I4:I104 I107</xm:sqref>
        </x14:dataValidation>
        <x14:dataValidation type="list" allowBlank="1" showInputMessage="1" showErrorMessage="1" xr:uid="{F49A59A8-462C-46C7-80E0-4DDA2999EBF9}">
          <x14:formula1>
            <xm:f>Lists!$C$4:$C$5</xm:f>
          </x14:formula1>
          <xm:sqref>J4:J104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9C300-617F-4C4A-B608-A098F39865EC}">
  <sheetPr>
    <tabColor rgb="FF7030A0"/>
  </sheetPr>
  <dimension ref="A1:G24"/>
  <sheetViews>
    <sheetView workbookViewId="0">
      <selection activeCell="G14" sqref="G14"/>
    </sheetView>
  </sheetViews>
  <sheetFormatPr defaultColWidth="8.85546875" defaultRowHeight="15" x14ac:dyDescent="0.25"/>
  <cols>
    <col min="1" max="1" width="25.7109375" style="348" bestFit="1" customWidth="1"/>
    <col min="2" max="3" width="16.5703125" style="348" bestFit="1" customWidth="1"/>
    <col min="4" max="4" width="16.7109375" style="348" bestFit="1" customWidth="1"/>
    <col min="5" max="6" width="16.5703125" style="348" bestFit="1" customWidth="1"/>
    <col min="7" max="7" width="16.7109375" style="348" bestFit="1" customWidth="1"/>
    <col min="8" max="16384" width="8.85546875" style="348"/>
  </cols>
  <sheetData>
    <row r="1" spans="1:7" ht="16.5" thickTop="1" x14ac:dyDescent="0.25">
      <c r="A1" s="347"/>
      <c r="B1" s="501" t="s">
        <v>635</v>
      </c>
      <c r="C1" s="501"/>
      <c r="D1" s="501"/>
      <c r="E1" s="501"/>
      <c r="F1" s="501"/>
      <c r="G1" s="502"/>
    </row>
    <row r="2" spans="1:7" s="350" customFormat="1" x14ac:dyDescent="0.25">
      <c r="A2" s="349" t="s">
        <v>333</v>
      </c>
      <c r="B2" s="339" t="s">
        <v>295</v>
      </c>
      <c r="C2" s="339" t="s">
        <v>33</v>
      </c>
      <c r="D2" s="339" t="s">
        <v>161</v>
      </c>
      <c r="E2" s="339" t="s">
        <v>231</v>
      </c>
      <c r="F2" s="339" t="s">
        <v>220</v>
      </c>
      <c r="G2" s="339" t="s">
        <v>146</v>
      </c>
    </row>
    <row r="3" spans="1:7" s="350" customFormat="1" x14ac:dyDescent="0.25">
      <c r="A3" s="349" t="s">
        <v>629</v>
      </c>
      <c r="B3" s="336">
        <f>_xlfn.XLOOKUP(B2,Table!B:B,Table!F:F)</f>
        <v>1</v>
      </c>
      <c r="C3" s="336">
        <f>_xlfn.XLOOKUP(C2,Table!B:B,Table!F:F)</f>
        <v>2</v>
      </c>
      <c r="D3" s="336">
        <f>_xlfn.XLOOKUP(D2,Table!B:B,Table!F:F)</f>
        <v>3</v>
      </c>
      <c r="E3" s="336">
        <f>_xlfn.XLOOKUP(E2,Table!B:B,Table!F:F)</f>
        <v>3</v>
      </c>
      <c r="F3" s="336">
        <f>_xlfn.XLOOKUP(F2,Table!B:B,Table!F:F)</f>
        <v>5</v>
      </c>
      <c r="G3" s="340">
        <f>_xlfn.XLOOKUP(G2,Table!B:B,Table!F:F)</f>
        <v>6</v>
      </c>
    </row>
    <row r="4" spans="1:7" x14ac:dyDescent="0.25">
      <c r="A4" s="351" t="s">
        <v>619</v>
      </c>
      <c r="B4" s="341">
        <f>_xlfn.XLOOKUP(B2,Table!B:B,Table!P:P)</f>
        <v>7169.9721333333364</v>
      </c>
      <c r="C4" s="341">
        <f>_xlfn.XLOOKUP(C2,Table!B:B,Table!P:P)</f>
        <v>7462.947844444443</v>
      </c>
      <c r="D4" s="341">
        <f>_xlfn.XLOOKUP(D2,Table!B:B,Table!P:P)</f>
        <v>5134.0955095238114</v>
      </c>
      <c r="E4" s="341">
        <f>_xlfn.XLOOKUP(E2,Table!B:B,Table!P:P)</f>
        <v>13897.216585185184</v>
      </c>
      <c r="F4" s="341">
        <f>_xlfn.XLOOKUP(F2,Table!B:B,Table!P:P)</f>
        <v>11504.458066439913</v>
      </c>
      <c r="G4" s="342">
        <f>_xlfn.XLOOKUP(G2,Table!B:B,Table!P:P)</f>
        <v>9172.1946555555587</v>
      </c>
    </row>
    <row r="5" spans="1:7" x14ac:dyDescent="0.25">
      <c r="A5" s="351" t="s">
        <v>622</v>
      </c>
      <c r="B5" s="336">
        <f>_xlfn.XLOOKUP(B2,Table!B:B,Table!AM:AM)</f>
        <v>1428</v>
      </c>
      <c r="C5" s="336">
        <f>_xlfn.XLOOKUP(C2,Table!B:B,Table!AM:AM)</f>
        <v>2154</v>
      </c>
      <c r="D5" s="336">
        <f>_xlfn.XLOOKUP(D2,Table!B:B,Table!AM:AM)</f>
        <v>777</v>
      </c>
      <c r="E5" s="336">
        <f>_xlfn.XLOOKUP(E2,Table!B:B,Table!AM:AM)</f>
        <v>2134</v>
      </c>
      <c r="F5" s="336">
        <f>_xlfn.XLOOKUP(F2,Table!B:B,Table!AM:AM)</f>
        <v>1343</v>
      </c>
      <c r="G5" s="340">
        <f>_xlfn.XLOOKUP(G2,Table!B:B,Table!AM:AM)</f>
        <v>921</v>
      </c>
    </row>
    <row r="6" spans="1:7" x14ac:dyDescent="0.25">
      <c r="A6" s="351" t="s">
        <v>621</v>
      </c>
      <c r="B6" s="336">
        <f>_xlfn.XLOOKUP(B2,Table!B:B,Table!AP:AP)</f>
        <v>20</v>
      </c>
      <c r="C6" s="336">
        <f>_xlfn.XLOOKUP(C2,Table!B:B,Table!AP:AP)</f>
        <v>20</v>
      </c>
      <c r="D6" s="336">
        <f>_xlfn.XLOOKUP(D2,Table!B:B,Table!AP:AP)</f>
        <v>25</v>
      </c>
      <c r="E6" s="336">
        <f>_xlfn.XLOOKUP(E2,Table!B:B,Table!AP:AP)</f>
        <v>18.5</v>
      </c>
      <c r="F6" s="336">
        <f>_xlfn.XLOOKUP(F2,Table!B:B,Table!AP:AP)</f>
        <v>36.5</v>
      </c>
      <c r="G6" s="340">
        <f>_xlfn.XLOOKUP(G2,Table!B:B,Table!AP:AP)</f>
        <v>36.5</v>
      </c>
    </row>
    <row r="7" spans="1:7" x14ac:dyDescent="0.25">
      <c r="A7" s="351" t="s">
        <v>626</v>
      </c>
      <c r="B7" s="343">
        <f>_xlfn.XLOOKUP(B2,Table!B:B,Table!M:M)</f>
        <v>-4.1700000000000008</v>
      </c>
      <c r="C7" s="343">
        <f>_xlfn.XLOOKUP(C2,Table!B:B,Table!M:M)</f>
        <v>-3.17</v>
      </c>
      <c r="D7" s="343">
        <f>_xlfn.XLOOKUP(D2,Table!B:B,Table!M:M)</f>
        <v>-4.5985714285714296</v>
      </c>
      <c r="E7" s="343">
        <f>_xlfn.XLOOKUP(E2,Table!B:B,Table!M:M)</f>
        <v>-5.17</v>
      </c>
      <c r="F7" s="343">
        <f>_xlfn.XLOOKUP(F2,Table!B:B,Table!M:M)</f>
        <v>-4.5985714285714296</v>
      </c>
      <c r="G7" s="344">
        <f>_xlfn.XLOOKUP(G2,Table!B:B,Table!M:M)</f>
        <v>-5.1700000000000008</v>
      </c>
    </row>
    <row r="8" spans="1:7" ht="9" customHeight="1" x14ac:dyDescent="0.25">
      <c r="A8" s="352"/>
      <c r="B8" s="345"/>
      <c r="C8" s="345"/>
      <c r="D8" s="345"/>
      <c r="E8" s="345"/>
      <c r="F8" s="345"/>
      <c r="G8" s="346"/>
    </row>
    <row r="9" spans="1:7" x14ac:dyDescent="0.25">
      <c r="A9" s="351" t="s">
        <v>627</v>
      </c>
      <c r="B9" s="336" t="str">
        <f>_xlfn.XLOOKUP(B2,Table!B:B,Table!O:O)</f>
        <v>Actual</v>
      </c>
      <c r="C9" s="336" t="str">
        <f>_xlfn.XLOOKUP(C2,Table!B:B,Table!O:O)</f>
        <v>Actual</v>
      </c>
      <c r="D9" s="336" t="str">
        <f>_xlfn.XLOOKUP(D2,Table!B:B,Table!O:O)</f>
        <v>Averaged</v>
      </c>
      <c r="E9" s="336" t="str">
        <f>_xlfn.XLOOKUP(E2,Table!B:B,Table!O:O)</f>
        <v>Actual</v>
      </c>
      <c r="F9" s="336" t="str">
        <f>_xlfn.XLOOKUP(F2,Table!B:B,Table!O:O)</f>
        <v>Averaged</v>
      </c>
      <c r="G9" s="340" t="str">
        <f>_xlfn.XLOOKUP(G2,Table!B:B,Table!O:O)</f>
        <v>Actual</v>
      </c>
    </row>
    <row r="10" spans="1:7" ht="6.6" customHeight="1" x14ac:dyDescent="0.25">
      <c r="A10" s="351"/>
      <c r="E10" s="348" t="s">
        <v>624</v>
      </c>
      <c r="G10" s="353"/>
    </row>
    <row r="11" spans="1:7" x14ac:dyDescent="0.25">
      <c r="A11" s="351" t="s">
        <v>620</v>
      </c>
      <c r="B11" s="354">
        <f>985.54/2</f>
        <v>492.77</v>
      </c>
      <c r="C11" s="354">
        <f>1489.83/2</f>
        <v>744.91499999999996</v>
      </c>
      <c r="D11" s="354">
        <f>973.07/2</f>
        <v>486.53500000000003</v>
      </c>
      <c r="E11" s="354">
        <f>2265.28/2</f>
        <v>1132.6400000000001</v>
      </c>
      <c r="F11" s="354">
        <f>210.3/2</f>
        <v>105.15</v>
      </c>
      <c r="G11" s="355">
        <f>1413.64/2</f>
        <v>706.82</v>
      </c>
    </row>
    <row r="12" spans="1:7" ht="3" customHeight="1" x14ac:dyDescent="0.25">
      <c r="A12" s="351"/>
      <c r="G12" s="353"/>
    </row>
    <row r="13" spans="1:7" ht="15.75" thickBot="1" x14ac:dyDescent="0.3">
      <c r="A13" s="356" t="s">
        <v>623</v>
      </c>
      <c r="B13" s="357">
        <f>B11/B4</f>
        <v>6.8726905884208794E-2</v>
      </c>
      <c r="C13" s="357">
        <f t="shared" ref="C13:G13" si="0">C11/C4</f>
        <v>9.9815115357469439E-2</v>
      </c>
      <c r="D13" s="357">
        <f t="shared" si="0"/>
        <v>9.4765475067121657E-2</v>
      </c>
      <c r="E13" s="357">
        <f t="shared" si="0"/>
        <v>8.1501212351214672E-2</v>
      </c>
      <c r="F13" s="357">
        <f t="shared" si="0"/>
        <v>9.1399350923566779E-3</v>
      </c>
      <c r="G13" s="358">
        <f t="shared" si="0"/>
        <v>7.7061164371591509E-2</v>
      </c>
    </row>
    <row r="14" spans="1:7" ht="15.75" thickTop="1" x14ac:dyDescent="0.25">
      <c r="F14" s="359" t="s">
        <v>633</v>
      </c>
      <c r="G14" s="360">
        <f>SUMPRODUCT(B13:G13,B4:G4)/SUM(B4:G4)</f>
        <v>6.7515095013184839E-2</v>
      </c>
    </row>
    <row r="16" spans="1:7" x14ac:dyDescent="0.25">
      <c r="A16" s="348" t="s">
        <v>628</v>
      </c>
    </row>
    <row r="19" spans="5:7" x14ac:dyDescent="0.25">
      <c r="E19" s="336"/>
      <c r="G19" s="336"/>
    </row>
    <row r="24" spans="5:7" x14ac:dyDescent="0.25">
      <c r="E24" s="336"/>
    </row>
  </sheetData>
  <mergeCells count="1">
    <mergeCell ref="B1:G1"/>
  </mergeCells>
  <conditionalFormatting sqref="B9:G9">
    <cfRule type="containsText" dxfId="0" priority="1" operator="containsText" text="Averaged">
      <formula>NOT(ISERROR(SEARCH("Averaged",B9)))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1279-169C-4121-AF62-1570D1E2D80A}">
  <sheetPr>
    <tabColor rgb="FF7030A0"/>
  </sheetPr>
  <dimension ref="A1:E21"/>
  <sheetViews>
    <sheetView workbookViewId="0">
      <selection activeCell="D11" sqref="D11"/>
    </sheetView>
  </sheetViews>
  <sheetFormatPr defaultRowHeight="15" x14ac:dyDescent="0.25"/>
  <cols>
    <col min="1" max="1" width="19.7109375" bestFit="1" customWidth="1"/>
    <col min="2" max="2" width="20.28515625" bestFit="1" customWidth="1"/>
    <col min="3" max="3" width="13.85546875" bestFit="1" customWidth="1"/>
    <col min="4" max="4" width="26.7109375" customWidth="1"/>
    <col min="5" max="5" width="16.85546875" customWidth="1"/>
    <col min="7" max="7" width="20.28515625" bestFit="1" customWidth="1"/>
  </cols>
  <sheetData>
    <row r="1" spans="1:5" x14ac:dyDescent="0.25">
      <c r="A1" s="324" t="s">
        <v>609</v>
      </c>
    </row>
    <row r="3" spans="1:5" x14ac:dyDescent="0.25">
      <c r="A3" t="s">
        <v>424</v>
      </c>
      <c r="B3" t="s">
        <v>425</v>
      </c>
      <c r="C3" t="s">
        <v>584</v>
      </c>
    </row>
    <row r="4" spans="1:5" x14ac:dyDescent="0.25">
      <c r="A4" t="s">
        <v>582</v>
      </c>
      <c r="B4" t="s">
        <v>426</v>
      </c>
      <c r="C4" t="s">
        <v>585</v>
      </c>
    </row>
    <row r="5" spans="1:5" x14ac:dyDescent="0.25">
      <c r="A5" t="s">
        <v>423</v>
      </c>
      <c r="B5" t="s">
        <v>427</v>
      </c>
      <c r="C5" t="s">
        <v>586</v>
      </c>
    </row>
    <row r="8" spans="1:5" x14ac:dyDescent="0.25">
      <c r="A8" s="503" t="s">
        <v>605</v>
      </c>
      <c r="B8" s="503" t="s">
        <v>608</v>
      </c>
      <c r="C8" s="503" t="s">
        <v>611</v>
      </c>
      <c r="D8" s="504" t="s">
        <v>612</v>
      </c>
      <c r="E8" s="39" t="s">
        <v>624</v>
      </c>
    </row>
    <row r="9" spans="1:5" x14ac:dyDescent="0.25">
      <c r="A9" s="503"/>
      <c r="B9" s="503"/>
      <c r="C9" s="503"/>
      <c r="D9" s="504"/>
      <c r="E9" s="39"/>
    </row>
    <row r="10" spans="1:5" x14ac:dyDescent="0.25">
      <c r="A10">
        <v>2023</v>
      </c>
      <c r="B10" s="323">
        <v>4.4999999999999998E-2</v>
      </c>
      <c r="C10" s="56">
        <v>1</v>
      </c>
      <c r="D10">
        <v>1</v>
      </c>
    </row>
    <row r="11" spans="1:5" x14ac:dyDescent="0.25">
      <c r="A11">
        <v>2024</v>
      </c>
      <c r="B11" s="323">
        <v>2.3E-2</v>
      </c>
      <c r="C11" s="56">
        <f>(C10*B11)+C10</f>
        <v>1.0229999999999999</v>
      </c>
      <c r="D11" s="56">
        <f>(D10*(2*B11))+D10</f>
        <v>1.046</v>
      </c>
      <c r="E11" s="56"/>
    </row>
    <row r="12" spans="1:5" x14ac:dyDescent="0.25">
      <c r="A12">
        <v>2025</v>
      </c>
      <c r="B12" s="323">
        <v>2.1000000000000001E-2</v>
      </c>
      <c r="C12" s="56">
        <f t="shared" ref="C12:C15" si="0">(C11*B12)+C11</f>
        <v>1.0444829999999998</v>
      </c>
      <c r="D12" s="56">
        <f t="shared" ref="D12:D15" si="1">(D11*(2*B12))+D11</f>
        <v>1.0899320000000001</v>
      </c>
      <c r="E12" s="56"/>
    </row>
    <row r="13" spans="1:5" x14ac:dyDescent="0.25">
      <c r="A13">
        <v>2026</v>
      </c>
      <c r="B13" s="323">
        <v>0.02</v>
      </c>
      <c r="C13" s="56">
        <f t="shared" si="0"/>
        <v>1.0653726599999997</v>
      </c>
      <c r="D13" s="56">
        <f t="shared" si="1"/>
        <v>1.1335292800000001</v>
      </c>
      <c r="E13" s="56"/>
    </row>
    <row r="14" spans="1:5" x14ac:dyDescent="0.25">
      <c r="A14">
        <v>2027</v>
      </c>
      <c r="B14" s="323">
        <v>0.02</v>
      </c>
      <c r="C14" s="56">
        <f t="shared" si="0"/>
        <v>1.0866801131999997</v>
      </c>
      <c r="D14" s="56">
        <f t="shared" si="1"/>
        <v>1.1788704512000001</v>
      </c>
      <c r="E14" s="56"/>
    </row>
    <row r="15" spans="1:5" x14ac:dyDescent="0.25">
      <c r="A15">
        <v>2028</v>
      </c>
      <c r="B15" s="323">
        <v>2.1000000000000001E-2</v>
      </c>
      <c r="C15" s="56">
        <f t="shared" si="0"/>
        <v>1.1095003955771996</v>
      </c>
      <c r="D15" s="56">
        <f t="shared" si="1"/>
        <v>1.2283830101504001</v>
      </c>
      <c r="E15" s="56"/>
    </row>
    <row r="16" spans="1:5" x14ac:dyDescent="0.25">
      <c r="B16" s="323"/>
      <c r="C16" s="56"/>
      <c r="D16" s="56"/>
      <c r="E16" s="56"/>
    </row>
    <row r="17" spans="2:5" x14ac:dyDescent="0.25">
      <c r="B17" s="323"/>
      <c r="C17" s="56"/>
      <c r="D17" s="56"/>
      <c r="E17" s="56"/>
    </row>
    <row r="18" spans="2:5" x14ac:dyDescent="0.25">
      <c r="B18" s="323"/>
      <c r="C18" s="56"/>
      <c r="D18" s="56"/>
      <c r="E18" s="56"/>
    </row>
    <row r="19" spans="2:5" x14ac:dyDescent="0.25">
      <c r="B19" t="s">
        <v>634</v>
      </c>
      <c r="C19" s="56"/>
      <c r="D19" s="56"/>
      <c r="E19" s="56"/>
    </row>
    <row r="20" spans="2:5" x14ac:dyDescent="0.25">
      <c r="B20" t="s">
        <v>610</v>
      </c>
      <c r="C20" s="56"/>
      <c r="D20" s="56"/>
      <c r="E20" s="56"/>
    </row>
    <row r="21" spans="2:5" x14ac:dyDescent="0.25">
      <c r="B21" t="s">
        <v>613</v>
      </c>
    </row>
  </sheetData>
  <mergeCells count="4">
    <mergeCell ref="A8:A9"/>
    <mergeCell ref="B8:B9"/>
    <mergeCell ref="C8:C9"/>
    <mergeCell ref="D8: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FC64E-5AD2-419C-BB0A-718DB8728F1C}">
  <dimension ref="A1:G16"/>
  <sheetViews>
    <sheetView workbookViewId="0">
      <selection activeCell="D23" sqref="D23"/>
    </sheetView>
  </sheetViews>
  <sheetFormatPr defaultRowHeight="15" x14ac:dyDescent="0.25"/>
  <cols>
    <col min="2" max="2" width="9" customWidth="1"/>
    <col min="3" max="3" width="10.42578125" customWidth="1"/>
    <col min="4" max="4" width="13.140625" customWidth="1"/>
    <col min="5" max="5" width="13.42578125" customWidth="1"/>
    <col min="6" max="6" width="12.140625" customWidth="1"/>
  </cols>
  <sheetData>
    <row r="1" spans="1:7" ht="75" x14ac:dyDescent="0.25">
      <c r="A1" s="24" t="s">
        <v>337</v>
      </c>
      <c r="B1" s="24" t="s">
        <v>342</v>
      </c>
      <c r="C1" s="24" t="s">
        <v>349</v>
      </c>
      <c r="D1" s="24" t="s">
        <v>348</v>
      </c>
      <c r="E1" s="24" t="s">
        <v>347</v>
      </c>
      <c r="F1" s="24" t="s">
        <v>343</v>
      </c>
      <c r="G1" s="25"/>
    </row>
    <row r="2" spans="1:7" x14ac:dyDescent="0.25">
      <c r="A2" s="4">
        <v>1</v>
      </c>
      <c r="B2" s="4">
        <v>20</v>
      </c>
      <c r="C2" s="4">
        <f>Table!AX4</f>
        <v>-4.1700000000000008</v>
      </c>
      <c r="D2" s="4"/>
      <c r="E2" s="4">
        <v>-4</v>
      </c>
      <c r="F2" s="4">
        <v>-4</v>
      </c>
      <c r="G2" s="4"/>
    </row>
    <row r="3" spans="1:7" x14ac:dyDescent="0.25">
      <c r="A3" s="4">
        <v>2</v>
      </c>
      <c r="B3" s="4">
        <v>30</v>
      </c>
      <c r="C3" s="4">
        <f>Table!AX7</f>
        <v>-5.1700000000000008</v>
      </c>
      <c r="D3" s="4"/>
      <c r="E3" s="26" t="s">
        <v>350</v>
      </c>
      <c r="F3" s="4">
        <v>-5</v>
      </c>
      <c r="G3" s="4"/>
    </row>
    <row r="4" spans="1:7" x14ac:dyDescent="0.25">
      <c r="A4" s="4" t="s">
        <v>338</v>
      </c>
      <c r="B4" s="4">
        <v>15</v>
      </c>
      <c r="C4" s="4">
        <f>Table!AX7</f>
        <v>-5.1700000000000008</v>
      </c>
      <c r="D4" s="4"/>
      <c r="E4" s="4"/>
      <c r="F4" s="4">
        <v>-5</v>
      </c>
      <c r="G4" s="4"/>
    </row>
    <row r="5" spans="1:7" x14ac:dyDescent="0.25">
      <c r="A5" s="4">
        <v>3</v>
      </c>
      <c r="B5" s="4">
        <v>0</v>
      </c>
      <c r="C5" s="4">
        <f>Table!AX12</f>
        <v>-5.1700000000000008</v>
      </c>
      <c r="D5" s="4">
        <f>-3.4-0.23</f>
        <v>-3.63</v>
      </c>
      <c r="E5" s="4">
        <v>-4</v>
      </c>
      <c r="F5" s="4">
        <v>-4</v>
      </c>
      <c r="G5" s="4"/>
    </row>
    <row r="6" spans="1:7" x14ac:dyDescent="0.25">
      <c r="A6" s="4">
        <v>6</v>
      </c>
      <c r="B6" s="4">
        <v>6</v>
      </c>
      <c r="C6" s="4">
        <f>Table!AX15</f>
        <v>-4.1700000000000008</v>
      </c>
      <c r="D6" s="26" t="s">
        <v>344</v>
      </c>
      <c r="E6" s="26">
        <v>-4</v>
      </c>
      <c r="F6" s="4">
        <v>-4</v>
      </c>
      <c r="G6" s="4"/>
    </row>
    <row r="7" spans="1:7" x14ac:dyDescent="0.25">
      <c r="A7" s="4">
        <v>18</v>
      </c>
      <c r="B7" s="4" t="s">
        <v>339</v>
      </c>
      <c r="C7" s="4">
        <f>Table!AX37</f>
        <v>0</v>
      </c>
      <c r="D7" s="26" t="s">
        <v>345</v>
      </c>
      <c r="E7" s="26">
        <v>-3</v>
      </c>
      <c r="F7" s="4">
        <v>-3</v>
      </c>
      <c r="G7" s="4"/>
    </row>
    <row r="8" spans="1:7" x14ac:dyDescent="0.25">
      <c r="A8" s="4" t="s">
        <v>243</v>
      </c>
      <c r="B8" s="4" t="s">
        <v>340</v>
      </c>
      <c r="C8" s="4"/>
      <c r="D8" s="4"/>
      <c r="E8" s="4"/>
      <c r="F8" s="26" t="s">
        <v>351</v>
      </c>
      <c r="G8" s="4"/>
    </row>
    <row r="9" spans="1:7" x14ac:dyDescent="0.25">
      <c r="A9" s="4" t="s">
        <v>161</v>
      </c>
      <c r="B9" s="4">
        <v>20</v>
      </c>
      <c r="C9" s="4"/>
      <c r="D9" s="4"/>
      <c r="E9" s="4"/>
      <c r="F9" s="4">
        <v>-5</v>
      </c>
      <c r="G9" s="4"/>
    </row>
    <row r="10" spans="1:7" x14ac:dyDescent="0.25">
      <c r="A10" s="4" t="s">
        <v>237</v>
      </c>
      <c r="B10" s="4" t="s">
        <v>341</v>
      </c>
      <c r="C10" s="4"/>
      <c r="D10" s="4"/>
      <c r="E10" s="4"/>
      <c r="F10" s="4">
        <v>-5</v>
      </c>
      <c r="G10" s="4"/>
    </row>
    <row r="11" spans="1:7" x14ac:dyDescent="0.25">
      <c r="A11" s="4" t="s">
        <v>231</v>
      </c>
      <c r="B11" s="4">
        <v>15</v>
      </c>
      <c r="C11" s="4">
        <f>Table!AX47</f>
        <v>0</v>
      </c>
      <c r="D11" s="4"/>
      <c r="E11" s="4">
        <v>-5</v>
      </c>
      <c r="F11" s="4">
        <v>-5</v>
      </c>
      <c r="G11" s="4"/>
    </row>
    <row r="12" spans="1:7" x14ac:dyDescent="0.25">
      <c r="A12" s="4" t="s">
        <v>315</v>
      </c>
      <c r="B12" s="4">
        <v>20</v>
      </c>
      <c r="C12" s="4"/>
      <c r="D12" s="4"/>
      <c r="E12" s="4"/>
      <c r="F12" s="4">
        <v>-5</v>
      </c>
      <c r="G12" s="4"/>
    </row>
    <row r="13" spans="1:7" x14ac:dyDescent="0.25">
      <c r="A13" s="4">
        <v>49</v>
      </c>
      <c r="B13" s="4">
        <v>15</v>
      </c>
      <c r="C13" s="4">
        <f>Table!AX98</f>
        <v>0</v>
      </c>
      <c r="D13" s="4"/>
      <c r="E13" s="4">
        <v>-5</v>
      </c>
      <c r="F13" s="4">
        <v>-5</v>
      </c>
      <c r="G13" s="4"/>
    </row>
    <row r="14" spans="1:7" x14ac:dyDescent="0.25">
      <c r="A14" s="4">
        <v>55</v>
      </c>
      <c r="B14" s="4">
        <v>15</v>
      </c>
      <c r="C14" s="4"/>
      <c r="D14" s="4"/>
      <c r="E14" s="4"/>
      <c r="F14" s="4">
        <v>-5</v>
      </c>
      <c r="G14" s="4"/>
    </row>
    <row r="15" spans="1:7" x14ac:dyDescent="0.25">
      <c r="A15" s="4" t="s">
        <v>176</v>
      </c>
      <c r="B15" s="4">
        <v>2</v>
      </c>
      <c r="C15" s="4"/>
      <c r="D15" s="4"/>
      <c r="E15" s="4"/>
      <c r="F15" s="4">
        <v>-5</v>
      </c>
      <c r="G15" s="4"/>
    </row>
    <row r="16" spans="1:7" x14ac:dyDescent="0.25">
      <c r="A16" s="4"/>
      <c r="B16" s="25"/>
      <c r="C16" s="4"/>
      <c r="D16" s="4"/>
      <c r="E16" s="4"/>
      <c r="F16" s="4"/>
      <c r="G16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EEE7-9F08-4F86-9318-A1E408C225DB}">
  <sheetPr>
    <tabColor rgb="FF7030A0"/>
  </sheetPr>
  <dimension ref="A2:D22"/>
  <sheetViews>
    <sheetView workbookViewId="0">
      <selection activeCell="A10" sqref="A10"/>
    </sheetView>
  </sheetViews>
  <sheetFormatPr defaultRowHeight="15" x14ac:dyDescent="0.25"/>
  <cols>
    <col min="1" max="1" width="24" bestFit="1" customWidth="1"/>
  </cols>
  <sheetData>
    <row r="2" spans="1:4" x14ac:dyDescent="0.25">
      <c r="A2" t="s">
        <v>569</v>
      </c>
    </row>
    <row r="4" spans="1:4" x14ac:dyDescent="0.25">
      <c r="A4" s="266" t="s">
        <v>426</v>
      </c>
    </row>
    <row r="5" spans="1:4" ht="15.75" thickBot="1" x14ac:dyDescent="0.3"/>
    <row r="6" spans="1:4" ht="15.75" thickTop="1" x14ac:dyDescent="0.25">
      <c r="A6" s="267" t="s">
        <v>556</v>
      </c>
      <c r="B6" s="505">
        <v>12</v>
      </c>
      <c r="C6" s="506"/>
      <c r="D6" s="507"/>
    </row>
    <row r="7" spans="1:4" x14ac:dyDescent="0.25">
      <c r="A7" s="268" t="s">
        <v>555</v>
      </c>
      <c r="B7" s="272" t="s">
        <v>554</v>
      </c>
      <c r="C7" s="273" t="s">
        <v>553</v>
      </c>
      <c r="D7" s="274" t="s">
        <v>571</v>
      </c>
    </row>
    <row r="8" spans="1:4" x14ac:dyDescent="0.25">
      <c r="A8" s="269" t="s">
        <v>557</v>
      </c>
      <c r="B8" s="275">
        <v>250</v>
      </c>
      <c r="C8" s="276">
        <v>150</v>
      </c>
      <c r="D8" s="274">
        <f>AVERAGE(B8:C8)</f>
        <v>200</v>
      </c>
    </row>
    <row r="9" spans="1:4" x14ac:dyDescent="0.25">
      <c r="A9" s="269" t="s">
        <v>551</v>
      </c>
      <c r="B9" s="277">
        <f>B8*B6</f>
        <v>3000</v>
      </c>
      <c r="C9" s="278">
        <f>C8*B6</f>
        <v>1800</v>
      </c>
      <c r="D9" s="274">
        <f>AVERAGE(B9:C9)</f>
        <v>2400</v>
      </c>
    </row>
    <row r="10" spans="1:4" ht="15.75" thickBot="1" x14ac:dyDescent="0.3">
      <c r="A10" s="103" t="s">
        <v>552</v>
      </c>
      <c r="B10" s="279">
        <v>0.75</v>
      </c>
      <c r="C10" s="280">
        <v>0.5</v>
      </c>
      <c r="D10" s="281">
        <f>AVERAGE(B10:C10)</f>
        <v>0.625</v>
      </c>
    </row>
    <row r="11" spans="1:4" ht="16.5" thickTop="1" thickBot="1" x14ac:dyDescent="0.3">
      <c r="A11" s="103" t="s">
        <v>572</v>
      </c>
      <c r="B11" s="270">
        <f>B9*B10</f>
        <v>2250</v>
      </c>
      <c r="C11" s="270">
        <f>C9*C10</f>
        <v>900</v>
      </c>
      <c r="D11" s="271">
        <f>D9*D10</f>
        <v>1500</v>
      </c>
    </row>
    <row r="12" spans="1:4" ht="15.75" thickTop="1" x14ac:dyDescent="0.25"/>
    <row r="14" spans="1:4" x14ac:dyDescent="0.25">
      <c r="A14" s="266" t="s">
        <v>427</v>
      </c>
    </row>
    <row r="15" spans="1:4" ht="15.75" thickBot="1" x14ac:dyDescent="0.3"/>
    <row r="16" spans="1:4" ht="15.75" thickTop="1" x14ac:dyDescent="0.25">
      <c r="A16" s="267" t="s">
        <v>556</v>
      </c>
      <c r="B16" s="505">
        <v>12</v>
      </c>
      <c r="C16" s="506"/>
      <c r="D16" s="507"/>
    </row>
    <row r="17" spans="1:4" x14ac:dyDescent="0.25">
      <c r="A17" s="268" t="s">
        <v>555</v>
      </c>
      <c r="B17" s="272" t="s">
        <v>554</v>
      </c>
      <c r="C17" s="273" t="s">
        <v>553</v>
      </c>
      <c r="D17" s="274" t="s">
        <v>571</v>
      </c>
    </row>
    <row r="18" spans="1:4" x14ac:dyDescent="0.25">
      <c r="A18" s="269" t="s">
        <v>557</v>
      </c>
      <c r="B18" s="275">
        <v>100</v>
      </c>
      <c r="C18" s="276">
        <v>75</v>
      </c>
      <c r="D18" s="274">
        <f>AVERAGE(B18:C18)</f>
        <v>87.5</v>
      </c>
    </row>
    <row r="19" spans="1:4" x14ac:dyDescent="0.25">
      <c r="A19" s="269" t="s">
        <v>551</v>
      </c>
      <c r="B19" s="277">
        <f>B18*B16</f>
        <v>1200</v>
      </c>
      <c r="C19" s="278">
        <f>C18*B16</f>
        <v>900</v>
      </c>
      <c r="D19" s="274">
        <f>AVERAGE(B19:C19)</f>
        <v>1050</v>
      </c>
    </row>
    <row r="20" spans="1:4" ht="15.75" thickBot="1" x14ac:dyDescent="0.3">
      <c r="A20" s="103" t="s">
        <v>552</v>
      </c>
      <c r="B20" s="279">
        <v>0.75</v>
      </c>
      <c r="C20" s="280">
        <v>0.5</v>
      </c>
      <c r="D20" s="281">
        <f>AVERAGE(B20:C20)</f>
        <v>0.625</v>
      </c>
    </row>
    <row r="21" spans="1:4" ht="16.5" thickTop="1" thickBot="1" x14ac:dyDescent="0.3">
      <c r="A21" s="103" t="s">
        <v>572</v>
      </c>
      <c r="B21" s="270">
        <f>B19*B20</f>
        <v>900</v>
      </c>
      <c r="C21" s="270">
        <f>C19*C20</f>
        <v>450</v>
      </c>
      <c r="D21" s="271">
        <f>D19*D20</f>
        <v>656.25</v>
      </c>
    </row>
    <row r="22" spans="1:4" ht="15.75" thickTop="1" x14ac:dyDescent="0.25"/>
  </sheetData>
  <mergeCells count="2">
    <mergeCell ref="B6:D6"/>
    <mergeCell ref="B16:D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67DC1-9561-426F-90BB-18190F31675A}">
  <sheetPr>
    <tabColor rgb="FF7030A0"/>
    <pageSetUpPr fitToPage="1"/>
  </sheetPr>
  <dimension ref="A1:J16"/>
  <sheetViews>
    <sheetView zoomScale="115" zoomScaleNormal="115" workbookViewId="0">
      <selection activeCell="A16" sqref="A16"/>
    </sheetView>
  </sheetViews>
  <sheetFormatPr defaultColWidth="10.7109375" defaultRowHeight="15" x14ac:dyDescent="0.25"/>
  <cols>
    <col min="1" max="1" width="10.7109375" style="62"/>
    <col min="2" max="2" width="38.28515625" style="62" bestFit="1" customWidth="1"/>
    <col min="3" max="3" width="13" style="62" customWidth="1"/>
    <col min="4" max="16384" width="10.7109375" style="62"/>
  </cols>
  <sheetData>
    <row r="1" spans="1:10" ht="15.75" thickBot="1" x14ac:dyDescent="0.3">
      <c r="A1" s="139" t="s">
        <v>444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5.75" thickTop="1" x14ac:dyDescent="0.25">
      <c r="A2" s="170" t="s">
        <v>473</v>
      </c>
      <c r="B2" s="136" t="e">
        <f>#REF!</f>
        <v>#REF!</v>
      </c>
      <c r="C2" s="136"/>
      <c r="D2" s="136"/>
      <c r="E2" s="136"/>
      <c r="F2" s="136"/>
      <c r="G2" s="137"/>
      <c r="H2" s="135"/>
      <c r="I2" s="135"/>
      <c r="J2" s="134"/>
    </row>
    <row r="3" spans="1:10" ht="15.75" thickBot="1" x14ac:dyDescent="0.3">
      <c r="A3" s="133" t="s">
        <v>471</v>
      </c>
      <c r="B3" s="131" t="e">
        <f>#REF!</f>
        <v>#REF!</v>
      </c>
      <c r="C3" s="131"/>
      <c r="D3" s="131"/>
      <c r="E3" s="131"/>
      <c r="F3" s="131"/>
      <c r="G3" s="132"/>
      <c r="H3" s="130"/>
      <c r="I3" s="130"/>
      <c r="J3" s="129"/>
    </row>
    <row r="4" spans="1:10" ht="15.75" thickTop="1" x14ac:dyDescent="0.25"/>
    <row r="5" spans="1:10" x14ac:dyDescent="0.25">
      <c r="C5" s="62" t="s">
        <v>496</v>
      </c>
    </row>
    <row r="6" spans="1:10" x14ac:dyDescent="0.25">
      <c r="C6" s="62" t="s">
        <v>495</v>
      </c>
      <c r="D6" s="168">
        <v>7.6499999999999999E-2</v>
      </c>
    </row>
    <row r="7" spans="1:10" x14ac:dyDescent="0.25">
      <c r="C7" s="62" t="s">
        <v>494</v>
      </c>
      <c r="D7" s="168">
        <v>8.0000000000000002E-3</v>
      </c>
    </row>
    <row r="8" spans="1:10" x14ac:dyDescent="0.25">
      <c r="C8" s="62" t="s">
        <v>493</v>
      </c>
      <c r="D8" s="169">
        <v>0.02</v>
      </c>
    </row>
    <row r="9" spans="1:10" x14ac:dyDescent="0.25">
      <c r="D9" s="168">
        <f>SUM(D6:D8)</f>
        <v>0.1045</v>
      </c>
    </row>
    <row r="10" spans="1:10" x14ac:dyDescent="0.25">
      <c r="A10" s="167"/>
      <c r="B10" s="166"/>
      <c r="C10" s="158" t="s">
        <v>492</v>
      </c>
      <c r="D10" s="165" t="s">
        <v>491</v>
      </c>
      <c r="E10" s="165" t="s">
        <v>490</v>
      </c>
      <c r="F10" s="164" t="s">
        <v>489</v>
      </c>
      <c r="G10" s="158" t="s">
        <v>488</v>
      </c>
      <c r="H10" s="163" t="s">
        <v>487</v>
      </c>
      <c r="I10" s="162" t="s">
        <v>486</v>
      </c>
      <c r="J10" s="161"/>
    </row>
    <row r="11" spans="1:10" x14ac:dyDescent="0.25">
      <c r="A11" s="150" t="s">
        <v>485</v>
      </c>
      <c r="B11" s="149"/>
      <c r="C11" s="148" t="s">
        <v>484</v>
      </c>
      <c r="D11" s="147" t="s">
        <v>483</v>
      </c>
      <c r="E11" s="147" t="s">
        <v>482</v>
      </c>
      <c r="F11" s="160" t="s">
        <v>482</v>
      </c>
      <c r="G11" s="148" t="s">
        <v>481</v>
      </c>
      <c r="H11" s="159" t="s">
        <v>480</v>
      </c>
      <c r="I11" s="159" t="s">
        <v>479</v>
      </c>
      <c r="J11" s="158" t="s">
        <v>478</v>
      </c>
    </row>
    <row r="12" spans="1:10" x14ac:dyDescent="0.25">
      <c r="A12" s="145"/>
      <c r="B12" s="144"/>
      <c r="C12" s="143"/>
      <c r="D12" s="157">
        <v>5</v>
      </c>
      <c r="E12" s="156"/>
      <c r="F12" s="155"/>
      <c r="G12" s="143"/>
      <c r="H12" s="154">
        <f>D9</f>
        <v>0.1045</v>
      </c>
      <c r="I12" s="153" t="s">
        <v>477</v>
      </c>
      <c r="J12" s="143" t="s">
        <v>476</v>
      </c>
    </row>
    <row r="13" spans="1:10" x14ac:dyDescent="0.25">
      <c r="A13" s="150" t="s">
        <v>475</v>
      </c>
      <c r="B13" s="149"/>
      <c r="C13" s="148">
        <v>12</v>
      </c>
      <c r="D13" s="147">
        <v>5</v>
      </c>
      <c r="E13" s="146">
        <v>28</v>
      </c>
      <c r="F13" s="152">
        <f>(IF(C13*D13&gt;40,40*E$13+(D13*C13-40)*E$13*1.5,C13*D13*E$13))/D13</f>
        <v>392</v>
      </c>
      <c r="G13" s="151">
        <f>F13/C13</f>
        <v>32.666666666666664</v>
      </c>
      <c r="H13" s="151">
        <f>(G13*$H$12)</f>
        <v>3.4136666666666664</v>
      </c>
      <c r="I13" s="151">
        <f>SUM(H13+G13)*1.05</f>
        <v>37.884349999999998</v>
      </c>
      <c r="J13" s="151">
        <f>I13*C13</f>
        <v>454.61219999999997</v>
      </c>
    </row>
    <row r="14" spans="1:10" x14ac:dyDescent="0.25">
      <c r="A14" s="150" t="s">
        <v>565</v>
      </c>
      <c r="B14" s="149"/>
      <c r="C14" s="148">
        <v>12</v>
      </c>
      <c r="D14" s="147">
        <v>5</v>
      </c>
      <c r="E14" s="146">
        <v>24</v>
      </c>
      <c r="F14" s="78">
        <f>(IF(C14*D14&gt;40,40*E$14+(D14*C14-40)*E$14*1.5,C14*D14*E$14))/D14</f>
        <v>336</v>
      </c>
      <c r="G14" s="80">
        <f>F14/C14</f>
        <v>28</v>
      </c>
      <c r="H14" s="80">
        <f>(G14*$H$12)</f>
        <v>2.9259999999999997</v>
      </c>
      <c r="I14" s="80">
        <f>SUM(H14+G14)*1.05</f>
        <v>32.472299999999997</v>
      </c>
      <c r="J14" s="80">
        <f>I14*C14</f>
        <v>389.66759999999999</v>
      </c>
    </row>
    <row r="15" spans="1:10" x14ac:dyDescent="0.25">
      <c r="A15" s="150" t="s">
        <v>430</v>
      </c>
      <c r="B15" s="149"/>
      <c r="C15" s="148">
        <v>12</v>
      </c>
      <c r="D15" s="147">
        <v>5</v>
      </c>
      <c r="E15" s="146">
        <v>22.8</v>
      </c>
      <c r="F15" s="78">
        <f>(IF(C15*D15&gt;40,40*E$15+(D15*C15-40)*E$15*1.5,C15*D15*E$15))/D15</f>
        <v>319.2</v>
      </c>
      <c r="G15" s="80">
        <f>F15/C15</f>
        <v>26.599999999999998</v>
      </c>
      <c r="H15" s="80">
        <f>(G15*$H$12)</f>
        <v>2.7796999999999996</v>
      </c>
      <c r="I15" s="80">
        <f>SUM(H15+G15)*1.05</f>
        <v>30.848684999999996</v>
      </c>
      <c r="J15" s="80">
        <f>I15*C15</f>
        <v>370.18421999999998</v>
      </c>
    </row>
    <row r="16" spans="1:10" x14ac:dyDescent="0.25">
      <c r="A16" s="145" t="s">
        <v>564</v>
      </c>
      <c r="B16" s="144"/>
      <c r="C16" s="143">
        <v>12</v>
      </c>
      <c r="D16" s="142">
        <v>5</v>
      </c>
      <c r="E16" s="141">
        <v>20</v>
      </c>
      <c r="F16" s="140">
        <f>(IF(C16*D16&gt;40,40*E$16+(D16*C16-40)*E$16*1.5,C16*D16*E$16))/D16</f>
        <v>280</v>
      </c>
      <c r="G16" s="111">
        <f>F16/C16</f>
        <v>23.333333333333332</v>
      </c>
      <c r="H16" s="111">
        <f>(G16*$H$12)</f>
        <v>2.438333333333333</v>
      </c>
      <c r="I16" s="111">
        <f>SUM(H16+G16)*1.05</f>
        <v>27.06025</v>
      </c>
      <c r="J16" s="111">
        <f>I16*C16</f>
        <v>324.72300000000001</v>
      </c>
    </row>
  </sheetData>
  <pageMargins left="0.7" right="0.7" top="0.75" bottom="0.75" header="0.3" footer="0.3"/>
  <pageSetup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29415-1E2E-4D58-9682-04B46DBDAB6A}">
  <sheetPr>
    <tabColor rgb="FF7030A0"/>
    <pageSetUpPr fitToPage="1"/>
  </sheetPr>
  <dimension ref="A1:U39"/>
  <sheetViews>
    <sheetView topLeftCell="A9" zoomScaleNormal="100" workbookViewId="0">
      <selection activeCell="E22" sqref="E22"/>
    </sheetView>
  </sheetViews>
  <sheetFormatPr defaultColWidth="10.7109375" defaultRowHeight="15" x14ac:dyDescent="0.25"/>
  <cols>
    <col min="1" max="1" width="31.7109375" style="62" bestFit="1" customWidth="1"/>
    <col min="2" max="3" width="10.7109375" style="62"/>
    <col min="4" max="4" width="12.28515625" style="62" bestFit="1" customWidth="1"/>
    <col min="5" max="5" width="14.7109375" style="62" bestFit="1" customWidth="1"/>
    <col min="6" max="6" width="14.7109375" style="62" customWidth="1"/>
    <col min="7" max="8" width="10.7109375" style="62"/>
    <col min="9" max="9" width="12.28515625" style="62" bestFit="1" customWidth="1"/>
    <col min="10" max="10" width="12.28515625" style="62" customWidth="1"/>
    <col min="11" max="11" width="14.42578125" style="62" bestFit="1" customWidth="1"/>
    <col min="12" max="12" width="10.7109375" style="62"/>
    <col min="13" max="14" width="0" style="62" hidden="1" customWidth="1"/>
    <col min="15" max="15" width="12.28515625" style="62" hidden="1" customWidth="1"/>
    <col min="16" max="16" width="14.7109375" style="62" hidden="1" customWidth="1"/>
    <col min="17" max="18" width="0" style="62" hidden="1" customWidth="1"/>
    <col min="19" max="19" width="12.28515625" style="62" hidden="1" customWidth="1"/>
    <col min="20" max="20" width="14.42578125" style="62" hidden="1" customWidth="1"/>
    <col min="21" max="16384" width="10.7109375" style="62"/>
  </cols>
  <sheetData>
    <row r="1" spans="1:21" ht="15.75" thickBot="1" x14ac:dyDescent="0.3">
      <c r="A1" s="139" t="s">
        <v>523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1" ht="15.75" thickTop="1" x14ac:dyDescent="0.25">
      <c r="A2" s="138" t="s">
        <v>473</v>
      </c>
      <c r="B2" s="136" t="str">
        <f>'DR-Hyd'!B2</f>
        <v>Town of Longboat Key</v>
      </c>
      <c r="C2" s="136"/>
      <c r="D2" s="136"/>
      <c r="E2" s="136"/>
      <c r="F2" s="136"/>
      <c r="G2" s="136"/>
      <c r="H2" s="137"/>
      <c r="I2" s="137"/>
      <c r="J2" s="137"/>
      <c r="K2" s="137"/>
      <c r="L2" s="295"/>
      <c r="M2" s="137"/>
      <c r="N2" s="136"/>
      <c r="O2" s="135"/>
      <c r="P2" s="135"/>
      <c r="Q2" s="135"/>
      <c r="R2" s="135"/>
      <c r="S2" s="135"/>
      <c r="T2" s="135"/>
      <c r="U2" s="197"/>
    </row>
    <row r="3" spans="1:21" ht="15.75" thickBot="1" x14ac:dyDescent="0.3">
      <c r="A3" s="133" t="s">
        <v>471</v>
      </c>
      <c r="B3" s="136" t="str">
        <f>'DR-Hyd'!B3</f>
        <v>Longboat Key Canal Design Permitting &amp; Construction</v>
      </c>
      <c r="C3" s="131"/>
      <c r="D3" s="131"/>
      <c r="E3" s="131"/>
      <c r="F3" s="131"/>
      <c r="G3" s="131"/>
      <c r="H3" s="132"/>
      <c r="I3" s="132"/>
      <c r="J3" s="132"/>
      <c r="K3" s="132"/>
      <c r="L3" s="296"/>
      <c r="M3" s="132"/>
      <c r="N3" s="131"/>
      <c r="O3" s="130"/>
      <c r="P3" s="130"/>
      <c r="Q3" s="130"/>
      <c r="R3" s="130"/>
      <c r="S3" s="130"/>
      <c r="T3" s="129"/>
    </row>
    <row r="4" spans="1:21" ht="15.75" thickTop="1" x14ac:dyDescent="0.25">
      <c r="B4" s="196"/>
      <c r="L4" s="297"/>
    </row>
    <row r="5" spans="1:21" x14ac:dyDescent="0.25">
      <c r="A5" s="97"/>
      <c r="B5" s="508"/>
      <c r="C5" s="509"/>
      <c r="D5" s="509"/>
      <c r="E5" s="509"/>
      <c r="F5" s="509"/>
      <c r="G5" s="509"/>
      <c r="H5" s="509"/>
      <c r="I5" s="509"/>
      <c r="J5" s="509"/>
      <c r="K5" s="510"/>
      <c r="L5" s="297"/>
      <c r="M5" s="511" t="s">
        <v>522</v>
      </c>
      <c r="N5" s="511"/>
      <c r="O5" s="511"/>
      <c r="P5" s="511"/>
      <c r="Q5" s="511"/>
      <c r="R5" s="511"/>
      <c r="S5" s="511"/>
      <c r="T5" s="512"/>
    </row>
    <row r="6" spans="1:21" x14ac:dyDescent="0.25">
      <c r="A6" s="83"/>
      <c r="B6" s="513" t="s">
        <v>426</v>
      </c>
      <c r="C6" s="514"/>
      <c r="D6" s="514"/>
      <c r="E6" s="514"/>
      <c r="F6" s="195"/>
      <c r="G6" s="515" t="s">
        <v>427</v>
      </c>
      <c r="H6" s="514"/>
      <c r="I6" s="514"/>
      <c r="J6" s="514"/>
      <c r="K6" s="516"/>
      <c r="L6" s="297"/>
      <c r="M6" s="517" t="s">
        <v>28</v>
      </c>
      <c r="N6" s="517"/>
      <c r="O6" s="517"/>
      <c r="P6" s="517"/>
      <c r="Q6" s="517" t="s">
        <v>267</v>
      </c>
      <c r="R6" s="517"/>
      <c r="S6" s="517"/>
      <c r="T6" s="518"/>
    </row>
    <row r="7" spans="1:21" x14ac:dyDescent="0.25">
      <c r="A7" s="83"/>
      <c r="B7" s="125" t="s">
        <v>509</v>
      </c>
      <c r="C7" s="62" t="s">
        <v>508</v>
      </c>
      <c r="D7" s="284"/>
      <c r="E7" s="284"/>
      <c r="F7" s="289" t="s">
        <v>513</v>
      </c>
      <c r="G7" s="125" t="s">
        <v>509</v>
      </c>
      <c r="H7" s="62" t="s">
        <v>508</v>
      </c>
      <c r="K7" s="264" t="s">
        <v>513</v>
      </c>
      <c r="L7" s="297"/>
      <c r="M7" s="187" t="s">
        <v>509</v>
      </c>
      <c r="N7" s="187" t="s">
        <v>508</v>
      </c>
      <c r="O7" s="187"/>
      <c r="P7" s="186"/>
      <c r="Q7" s="185" t="s">
        <v>509</v>
      </c>
      <c r="R7" s="187" t="s">
        <v>508</v>
      </c>
      <c r="S7" s="187"/>
      <c r="T7" s="186"/>
    </row>
    <row r="8" spans="1:21" x14ac:dyDescent="0.25">
      <c r="A8" s="83" t="s">
        <v>521</v>
      </c>
      <c r="B8" s="125">
        <f>'Mob-Hyd'!E46</f>
        <v>35</v>
      </c>
      <c r="C8" s="190" t="s">
        <v>506</v>
      </c>
      <c r="F8" s="80">
        <f>B8*$F$39</f>
        <v>59698.333333333336</v>
      </c>
      <c r="G8" s="125">
        <f>'Mob-Mech'!E46</f>
        <v>22</v>
      </c>
      <c r="H8" s="190" t="s">
        <v>506</v>
      </c>
      <c r="K8" s="80">
        <f>G8*$K$39</f>
        <v>37524.666666666672</v>
      </c>
      <c r="L8" s="297"/>
      <c r="M8" s="187">
        <f>'Mob-Mech'!$E$46</f>
        <v>22</v>
      </c>
      <c r="N8" s="188" t="s">
        <v>506</v>
      </c>
      <c r="O8" s="187"/>
      <c r="P8" s="186"/>
      <c r="Q8" s="185">
        <f>'Mob-Mech'!$E$46</f>
        <v>22</v>
      </c>
      <c r="R8" s="188" t="s">
        <v>506</v>
      </c>
      <c r="S8" s="187"/>
      <c r="T8" s="186"/>
    </row>
    <row r="9" spans="1:21" x14ac:dyDescent="0.25">
      <c r="A9" s="83" t="s">
        <v>520</v>
      </c>
      <c r="B9" s="199">
        <v>5</v>
      </c>
      <c r="C9" s="190" t="s">
        <v>506</v>
      </c>
      <c r="F9" s="80">
        <f t="shared" ref="F9:F11" si="0">B9*$F$39</f>
        <v>8528.3333333333339</v>
      </c>
      <c r="G9" s="199">
        <f>$B$9</f>
        <v>5</v>
      </c>
      <c r="H9" s="190" t="s">
        <v>506</v>
      </c>
      <c r="K9" s="80">
        <f t="shared" ref="K9:K11" si="1">G9*$K$39</f>
        <v>8528.3333333333339</v>
      </c>
      <c r="L9" s="297"/>
      <c r="M9" s="187">
        <v>15</v>
      </c>
      <c r="N9" s="188" t="s">
        <v>506</v>
      </c>
      <c r="O9" s="187"/>
      <c r="P9" s="186"/>
      <c r="Q9" s="185">
        <v>15</v>
      </c>
      <c r="R9" s="188" t="s">
        <v>506</v>
      </c>
      <c r="S9" s="187"/>
      <c r="T9" s="186"/>
    </row>
    <row r="10" spans="1:21" x14ac:dyDescent="0.25">
      <c r="A10" s="83" t="s">
        <v>519</v>
      </c>
      <c r="B10" s="125">
        <f>'Demob-Hyd'!E41</f>
        <v>27</v>
      </c>
      <c r="C10" s="190" t="s">
        <v>506</v>
      </c>
      <c r="F10" s="80">
        <f t="shared" si="0"/>
        <v>46053</v>
      </c>
      <c r="G10" s="125">
        <f>'Demob-Mech'!E41</f>
        <v>19</v>
      </c>
      <c r="H10" s="190" t="s">
        <v>506</v>
      </c>
      <c r="K10" s="80">
        <f t="shared" si="1"/>
        <v>32407.666666666668</v>
      </c>
      <c r="L10" s="297"/>
      <c r="M10" s="187">
        <f>'Demob-Mech'!$E$41</f>
        <v>19</v>
      </c>
      <c r="N10" s="188" t="s">
        <v>506</v>
      </c>
      <c r="O10" s="187"/>
      <c r="P10" s="186"/>
      <c r="Q10" s="185">
        <f>'Demob-Mech'!$E$41</f>
        <v>19</v>
      </c>
      <c r="R10" s="188" t="s">
        <v>506</v>
      </c>
      <c r="S10" s="187"/>
      <c r="T10" s="186"/>
    </row>
    <row r="11" spans="1:21" x14ac:dyDescent="0.25">
      <c r="A11" s="83" t="s">
        <v>518</v>
      </c>
      <c r="B11" s="199">
        <v>5</v>
      </c>
      <c r="C11" s="190" t="s">
        <v>506</v>
      </c>
      <c r="F11" s="80">
        <f t="shared" si="0"/>
        <v>8528.3333333333339</v>
      </c>
      <c r="G11" s="199">
        <f>$B$11</f>
        <v>5</v>
      </c>
      <c r="H11" s="190" t="s">
        <v>506</v>
      </c>
      <c r="K11" s="80">
        <f t="shared" si="1"/>
        <v>8528.3333333333339</v>
      </c>
      <c r="L11" s="297"/>
      <c r="M11" s="187">
        <v>10</v>
      </c>
      <c r="N11" s="188" t="s">
        <v>506</v>
      </c>
      <c r="O11" s="187"/>
      <c r="P11" s="186"/>
      <c r="Q11" s="185">
        <v>10</v>
      </c>
      <c r="R11" s="188" t="s">
        <v>506</v>
      </c>
      <c r="S11" s="187"/>
      <c r="T11" s="186"/>
    </row>
    <row r="12" spans="1:21" hidden="1" x14ac:dyDescent="0.25">
      <c r="A12" s="83" t="s">
        <v>517</v>
      </c>
      <c r="B12" s="194" t="e">
        <f>#REF!</f>
        <v>#REF!</v>
      </c>
      <c r="C12" s="190" t="s">
        <v>506</v>
      </c>
      <c r="F12" s="80" t="e">
        <f>B12*F43</f>
        <v>#REF!</v>
      </c>
      <c r="G12" s="194" t="e">
        <f>#REF!</f>
        <v>#REF!</v>
      </c>
      <c r="H12" s="190" t="s">
        <v>506</v>
      </c>
      <c r="K12" s="84"/>
      <c r="L12" s="297"/>
      <c r="M12" s="291" t="e">
        <f>#REF!+#REF!</f>
        <v>#REF!</v>
      </c>
      <c r="N12" s="188" t="s">
        <v>506</v>
      </c>
      <c r="O12" s="187"/>
      <c r="P12" s="186"/>
      <c r="Q12" s="192" t="e">
        <f>#REF!+#REF!</f>
        <v>#REF!</v>
      </c>
      <c r="R12" s="188" t="s">
        <v>506</v>
      </c>
      <c r="S12" s="187"/>
      <c r="T12" s="186"/>
    </row>
    <row r="13" spans="1:21" hidden="1" x14ac:dyDescent="0.25">
      <c r="A13" s="83" t="s">
        <v>516</v>
      </c>
      <c r="B13" s="194" t="e">
        <f>SUM(B8:B12)</f>
        <v>#REF!</v>
      </c>
      <c r="C13" s="190" t="s">
        <v>506</v>
      </c>
      <c r="F13" s="80" t="e">
        <f>B13*F44</f>
        <v>#REF!</v>
      </c>
      <c r="G13" s="194" t="e">
        <f>SUM(G8:G12)</f>
        <v>#REF!</v>
      </c>
      <c r="H13" s="190" t="s">
        <v>506</v>
      </c>
      <c r="K13" s="84"/>
      <c r="L13" s="297"/>
      <c r="M13" s="291" t="e">
        <f>SUM(M8:M12)</f>
        <v>#REF!</v>
      </c>
      <c r="N13" s="188" t="s">
        <v>506</v>
      </c>
      <c r="O13" s="187"/>
      <c r="P13" s="186"/>
      <c r="Q13" s="192" t="e">
        <f>SUM(Q8:Q12)</f>
        <v>#REF!</v>
      </c>
      <c r="R13" s="188" t="s">
        <v>506</v>
      </c>
      <c r="S13" s="187"/>
      <c r="T13" s="186"/>
    </row>
    <row r="14" spans="1:21" hidden="1" x14ac:dyDescent="0.25">
      <c r="A14" s="83" t="s">
        <v>515</v>
      </c>
      <c r="B14" s="194" t="e">
        <f>B13/7</f>
        <v>#REF!</v>
      </c>
      <c r="C14" s="193" t="s">
        <v>505</v>
      </c>
      <c r="F14" s="80" t="e">
        <f>B14*F45</f>
        <v>#REF!</v>
      </c>
      <c r="G14" s="194" t="e">
        <f>G13/7</f>
        <v>#REF!</v>
      </c>
      <c r="H14" s="193" t="s">
        <v>505</v>
      </c>
      <c r="K14" s="84"/>
      <c r="L14" s="297"/>
      <c r="M14" s="291" t="e">
        <f>M13/7</f>
        <v>#REF!</v>
      </c>
      <c r="N14" s="191" t="s">
        <v>505</v>
      </c>
      <c r="O14" s="187"/>
      <c r="P14" s="186"/>
      <c r="Q14" s="192" t="e">
        <f>Q13/7</f>
        <v>#REF!</v>
      </c>
      <c r="R14" s="191" t="s">
        <v>505</v>
      </c>
      <c r="S14" s="187"/>
      <c r="T14" s="186"/>
    </row>
    <row r="15" spans="1:21" hidden="1" x14ac:dyDescent="0.25">
      <c r="A15" s="83" t="s">
        <v>514</v>
      </c>
      <c r="B15" s="184" t="e">
        <f>B13/30</f>
        <v>#REF!</v>
      </c>
      <c r="C15" s="190" t="s">
        <v>500</v>
      </c>
      <c r="F15" s="80" t="e">
        <f>B15*F46</f>
        <v>#REF!</v>
      </c>
      <c r="G15" s="184" t="e">
        <f>G13/30</f>
        <v>#REF!</v>
      </c>
      <c r="H15" s="190" t="s">
        <v>500</v>
      </c>
      <c r="K15" s="84"/>
      <c r="L15" s="297"/>
      <c r="M15" s="292" t="e">
        <f>M13/30</f>
        <v>#REF!</v>
      </c>
      <c r="N15" s="188" t="s">
        <v>500</v>
      </c>
      <c r="O15" s="187"/>
      <c r="P15" s="186"/>
      <c r="Q15" s="189" t="e">
        <f>Q13/30</f>
        <v>#REF!</v>
      </c>
      <c r="R15" s="188" t="s">
        <v>500</v>
      </c>
      <c r="S15" s="187"/>
      <c r="T15" s="186"/>
    </row>
    <row r="16" spans="1:21" hidden="1" x14ac:dyDescent="0.25">
      <c r="A16" s="83"/>
      <c r="B16" s="125"/>
      <c r="C16" s="190"/>
      <c r="F16" s="80">
        <f>B16*F47</f>
        <v>0</v>
      </c>
      <c r="G16" s="125"/>
      <c r="H16" s="190"/>
      <c r="K16" s="84"/>
      <c r="L16" s="297"/>
      <c r="M16" s="187"/>
      <c r="N16" s="187"/>
      <c r="O16" s="187"/>
      <c r="P16" s="186"/>
      <c r="Q16" s="185"/>
      <c r="R16" s="187"/>
      <c r="S16" s="187"/>
      <c r="T16" s="186"/>
    </row>
    <row r="17" spans="1:20" x14ac:dyDescent="0.25">
      <c r="A17" s="83"/>
      <c r="B17" s="125"/>
      <c r="C17" s="190"/>
      <c r="F17" s="84"/>
      <c r="G17" s="125"/>
      <c r="H17" s="190"/>
      <c r="K17" s="84"/>
      <c r="L17" s="297"/>
      <c r="M17" s="187"/>
      <c r="N17" s="187"/>
      <c r="O17" s="187"/>
      <c r="P17" s="186"/>
      <c r="Q17" s="185"/>
      <c r="R17" s="187"/>
      <c r="S17" s="187"/>
      <c r="T17" s="186"/>
    </row>
    <row r="18" spans="1:20" x14ac:dyDescent="0.25">
      <c r="A18" s="127" t="s">
        <v>579</v>
      </c>
      <c r="B18" s="125"/>
      <c r="C18" s="190"/>
      <c r="F18" s="84"/>
      <c r="G18" s="125"/>
      <c r="H18" s="190"/>
      <c r="K18" s="84"/>
      <c r="L18" s="297"/>
      <c r="M18" s="187"/>
      <c r="N18" s="187"/>
      <c r="O18" s="187"/>
      <c r="P18" s="186"/>
      <c r="Q18" s="185"/>
      <c r="R18" s="187"/>
      <c r="S18" s="187"/>
      <c r="T18" s="186"/>
    </row>
    <row r="19" spans="1:20" x14ac:dyDescent="0.25">
      <c r="A19" s="83"/>
      <c r="B19" s="283" t="s">
        <v>452</v>
      </c>
      <c r="C19" s="190"/>
      <c r="D19" s="62" t="s">
        <v>476</v>
      </c>
      <c r="F19" s="84"/>
      <c r="G19" s="283" t="s">
        <v>452</v>
      </c>
      <c r="H19" s="190"/>
      <c r="I19" s="62" t="s">
        <v>476</v>
      </c>
      <c r="K19" s="84"/>
      <c r="L19" s="297"/>
      <c r="M19" s="187" t="s">
        <v>444</v>
      </c>
      <c r="N19" s="187"/>
      <c r="O19" s="187" t="s">
        <v>476</v>
      </c>
      <c r="P19" s="186" t="s">
        <v>513</v>
      </c>
      <c r="Q19" s="185" t="s">
        <v>444</v>
      </c>
      <c r="R19" s="187"/>
      <c r="S19" s="187" t="s">
        <v>476</v>
      </c>
      <c r="T19" s="186" t="s">
        <v>513</v>
      </c>
    </row>
    <row r="20" spans="1:20" x14ac:dyDescent="0.25">
      <c r="A20" s="265" t="s">
        <v>578</v>
      </c>
      <c r="B20" s="125">
        <v>1</v>
      </c>
      <c r="C20" s="375" t="s">
        <v>506</v>
      </c>
      <c r="D20" s="200">
        <v>400</v>
      </c>
      <c r="E20" s="81"/>
      <c r="F20" s="80"/>
      <c r="G20" s="125">
        <v>1</v>
      </c>
      <c r="H20" s="375" t="s">
        <v>506</v>
      </c>
      <c r="I20" s="81">
        <f>$D20</f>
        <v>400</v>
      </c>
      <c r="J20" s="81"/>
      <c r="K20" s="80"/>
      <c r="L20" s="297"/>
      <c r="M20" s="187">
        <v>0</v>
      </c>
      <c r="N20" s="187"/>
      <c r="O20" s="180">
        <f>$D20</f>
        <v>400</v>
      </c>
      <c r="P20" s="179" t="e">
        <f>O20*M20*$M$14</f>
        <v>#REF!</v>
      </c>
      <c r="Q20" s="185">
        <v>0</v>
      </c>
      <c r="R20" s="187"/>
      <c r="S20" s="180">
        <f>$D20</f>
        <v>400</v>
      </c>
      <c r="T20" s="179" t="e">
        <f>S20*Q20*$Q$14</f>
        <v>#REF!</v>
      </c>
    </row>
    <row r="21" spans="1:20" x14ac:dyDescent="0.25">
      <c r="A21" s="83" t="s">
        <v>512</v>
      </c>
      <c r="B21" s="125">
        <v>1</v>
      </c>
      <c r="C21" s="375" t="s">
        <v>506</v>
      </c>
      <c r="D21" s="200">
        <v>360</v>
      </c>
      <c r="E21" s="81"/>
      <c r="F21" s="80"/>
      <c r="G21" s="125">
        <v>1</v>
      </c>
      <c r="H21" s="375" t="s">
        <v>506</v>
      </c>
      <c r="I21" s="81">
        <f>$D21</f>
        <v>360</v>
      </c>
      <c r="J21" s="81"/>
      <c r="K21" s="80"/>
      <c r="L21" s="297"/>
      <c r="M21" s="187">
        <v>0</v>
      </c>
      <c r="N21" s="187"/>
      <c r="O21" s="180">
        <f>$D21</f>
        <v>360</v>
      </c>
      <c r="P21" s="179" t="e">
        <f>O21*M21*$M$14</f>
        <v>#REF!</v>
      </c>
      <c r="Q21" s="185">
        <v>0</v>
      </c>
      <c r="R21" s="187"/>
      <c r="S21" s="180">
        <f>$D21</f>
        <v>360</v>
      </c>
      <c r="T21" s="179" t="e">
        <f>S21*Q21*$Q$14</f>
        <v>#REF!</v>
      </c>
    </row>
    <row r="22" spans="1:20" x14ac:dyDescent="0.25">
      <c r="A22" s="83" t="s">
        <v>511</v>
      </c>
      <c r="B22" s="125">
        <v>1</v>
      </c>
      <c r="C22" s="375" t="s">
        <v>506</v>
      </c>
      <c r="D22" s="200">
        <v>360</v>
      </c>
      <c r="E22" s="81"/>
      <c r="F22" s="80"/>
      <c r="G22" s="125">
        <v>1</v>
      </c>
      <c r="H22" s="375" t="s">
        <v>506</v>
      </c>
      <c r="I22" s="81">
        <f>$D22</f>
        <v>360</v>
      </c>
      <c r="J22" s="81"/>
      <c r="K22" s="80"/>
      <c r="L22" s="297"/>
      <c r="M22" s="187">
        <v>1</v>
      </c>
      <c r="N22" s="187"/>
      <c r="O22" s="180">
        <f>$D22</f>
        <v>360</v>
      </c>
      <c r="P22" s="179" t="e">
        <f>O22*M22*$M$14</f>
        <v>#REF!</v>
      </c>
      <c r="Q22" s="185">
        <v>1</v>
      </c>
      <c r="R22" s="187"/>
      <c r="S22" s="180">
        <f>$D22</f>
        <v>360</v>
      </c>
      <c r="T22" s="179" t="e">
        <f>S22*Q22*$Q$14</f>
        <v>#REF!</v>
      </c>
    </row>
    <row r="23" spans="1:20" x14ac:dyDescent="0.25">
      <c r="A23" s="83" t="s">
        <v>510</v>
      </c>
      <c r="B23" s="125">
        <v>1</v>
      </c>
      <c r="C23" s="375" t="s">
        <v>506</v>
      </c>
      <c r="D23" s="200">
        <v>280</v>
      </c>
      <c r="E23" s="81"/>
      <c r="F23" s="80"/>
      <c r="G23" s="125">
        <v>1</v>
      </c>
      <c r="H23" s="375" t="s">
        <v>506</v>
      </c>
      <c r="I23" s="81">
        <f>$D23</f>
        <v>280</v>
      </c>
      <c r="J23" s="81"/>
      <c r="K23" s="80"/>
      <c r="L23" s="297"/>
      <c r="M23" s="187">
        <v>1</v>
      </c>
      <c r="N23" s="187"/>
      <c r="O23" s="180">
        <f>$D23</f>
        <v>280</v>
      </c>
      <c r="P23" s="179" t="e">
        <f>O23*M23*$M$14</f>
        <v>#REF!</v>
      </c>
      <c r="Q23" s="185">
        <v>1</v>
      </c>
      <c r="R23" s="187"/>
      <c r="S23" s="180">
        <f>$D23</f>
        <v>280</v>
      </c>
      <c r="T23" s="179" t="e">
        <f>S23*Q23*$Q$14</f>
        <v>#REF!</v>
      </c>
    </row>
    <row r="24" spans="1:20" x14ac:dyDescent="0.25">
      <c r="A24" s="83"/>
      <c r="B24" s="125"/>
      <c r="C24" s="190"/>
      <c r="D24" s="81"/>
      <c r="E24" s="81"/>
      <c r="F24" s="80"/>
      <c r="G24" s="125"/>
      <c r="H24" s="190"/>
      <c r="I24" s="81"/>
      <c r="J24" s="81"/>
      <c r="K24" s="80"/>
      <c r="L24" s="297"/>
      <c r="M24" s="187"/>
      <c r="N24" s="187"/>
      <c r="O24" s="180"/>
      <c r="P24" s="179" t="e">
        <f>SUM(P20:P23)</f>
        <v>#REF!</v>
      </c>
      <c r="Q24" s="185"/>
      <c r="R24" s="187"/>
      <c r="S24" s="180"/>
      <c r="T24" s="179" t="e">
        <f>SUM(T20:T23)</f>
        <v>#REF!</v>
      </c>
    </row>
    <row r="25" spans="1:20" x14ac:dyDescent="0.25">
      <c r="A25" s="127" t="s">
        <v>648</v>
      </c>
      <c r="B25" s="283" t="s">
        <v>509</v>
      </c>
      <c r="C25" s="375" t="s">
        <v>508</v>
      </c>
      <c r="D25" s="288" t="s">
        <v>476</v>
      </c>
      <c r="E25" s="81"/>
      <c r="F25" s="397" t="s">
        <v>513</v>
      </c>
      <c r="G25" s="283" t="s">
        <v>509</v>
      </c>
      <c r="H25" s="375" t="s">
        <v>508</v>
      </c>
      <c r="I25" s="288" t="s">
        <v>476</v>
      </c>
      <c r="J25" s="81"/>
      <c r="K25" s="397" t="s">
        <v>513</v>
      </c>
      <c r="L25" s="297"/>
      <c r="M25" s="187"/>
      <c r="N25" s="187"/>
      <c r="O25" s="180"/>
      <c r="P25" s="179"/>
      <c r="Q25" s="185"/>
      <c r="R25" s="187"/>
      <c r="S25" s="180"/>
      <c r="T25" s="179"/>
    </row>
    <row r="26" spans="1:20" x14ac:dyDescent="0.25">
      <c r="A26" s="265" t="s">
        <v>645</v>
      </c>
      <c r="B26" s="199">
        <v>100</v>
      </c>
      <c r="C26" s="375" t="s">
        <v>646</v>
      </c>
      <c r="D26" s="399">
        <v>300</v>
      </c>
      <c r="E26" s="81"/>
      <c r="F26" s="80">
        <f>D26*B26</f>
        <v>30000</v>
      </c>
      <c r="G26" s="199">
        <v>100</v>
      </c>
      <c r="H26" s="375" t="s">
        <v>646</v>
      </c>
      <c r="I26" s="200">
        <v>300</v>
      </c>
      <c r="J26" s="81"/>
      <c r="K26" s="80">
        <f>I26*G26</f>
        <v>30000</v>
      </c>
      <c r="L26" s="297"/>
      <c r="M26" s="187"/>
      <c r="N26" s="187"/>
      <c r="O26" s="180"/>
      <c r="P26" s="179"/>
      <c r="Q26" s="185"/>
      <c r="R26" s="187"/>
      <c r="S26" s="180"/>
      <c r="T26" s="179"/>
    </row>
    <row r="27" spans="1:20" x14ac:dyDescent="0.25">
      <c r="A27" s="265" t="s">
        <v>647</v>
      </c>
      <c r="B27" s="199">
        <v>30</v>
      </c>
      <c r="C27" s="375" t="s">
        <v>506</v>
      </c>
      <c r="D27" s="400">
        <v>500</v>
      </c>
      <c r="F27" s="80">
        <f>D27*B27</f>
        <v>15000</v>
      </c>
      <c r="G27" s="199">
        <v>30</v>
      </c>
      <c r="H27" s="375" t="s">
        <v>506</v>
      </c>
      <c r="I27" s="242">
        <v>500</v>
      </c>
      <c r="K27" s="80">
        <f>I27*G27</f>
        <v>15000</v>
      </c>
      <c r="L27" s="297"/>
      <c r="M27" s="187"/>
      <c r="N27" s="187"/>
      <c r="O27" s="187"/>
      <c r="P27" s="186"/>
      <c r="Q27" s="185"/>
      <c r="R27" s="187"/>
      <c r="S27" s="187"/>
      <c r="T27" s="186"/>
    </row>
    <row r="28" spans="1:20" x14ac:dyDescent="0.25">
      <c r="A28" s="83"/>
      <c r="B28" s="125"/>
      <c r="C28" s="190"/>
      <c r="F28" s="84"/>
      <c r="G28" s="125"/>
      <c r="H28" s="190"/>
      <c r="K28" s="84"/>
      <c r="L28" s="297"/>
      <c r="M28" s="187"/>
      <c r="N28" s="187"/>
      <c r="O28" s="187"/>
      <c r="P28" s="186"/>
      <c r="Q28" s="185"/>
      <c r="R28" s="187"/>
      <c r="S28" s="187"/>
      <c r="T28" s="186"/>
    </row>
    <row r="29" spans="1:20" x14ac:dyDescent="0.25">
      <c r="A29" s="127" t="s">
        <v>439</v>
      </c>
      <c r="B29" s="125" t="s">
        <v>509</v>
      </c>
      <c r="C29" s="190" t="s">
        <v>508</v>
      </c>
      <c r="E29" s="284" t="s">
        <v>508</v>
      </c>
      <c r="F29" s="264" t="s">
        <v>513</v>
      </c>
      <c r="G29" s="125" t="s">
        <v>509</v>
      </c>
      <c r="H29" s="190" t="s">
        <v>508</v>
      </c>
      <c r="J29" s="284" t="s">
        <v>508</v>
      </c>
      <c r="K29" s="264" t="s">
        <v>513</v>
      </c>
      <c r="L29" s="297"/>
      <c r="M29" s="187" t="s">
        <v>509</v>
      </c>
      <c r="N29" s="187" t="s">
        <v>508</v>
      </c>
      <c r="O29" s="187"/>
      <c r="P29" s="186"/>
      <c r="Q29" s="185" t="s">
        <v>509</v>
      </c>
      <c r="R29" s="187" t="s">
        <v>508</v>
      </c>
      <c r="S29" s="187"/>
      <c r="T29" s="186"/>
    </row>
    <row r="30" spans="1:20" x14ac:dyDescent="0.25">
      <c r="A30" s="83" t="s">
        <v>507</v>
      </c>
      <c r="B30" s="125">
        <f>SUM($B$20:$B$23)</f>
        <v>4</v>
      </c>
      <c r="C30" s="190" t="s">
        <v>506</v>
      </c>
      <c r="D30" s="200">
        <v>120</v>
      </c>
      <c r="E30" s="290" t="s">
        <v>141</v>
      </c>
      <c r="F30" s="80"/>
      <c r="G30" s="125">
        <f>SUM($B$20:$B$23)</f>
        <v>4</v>
      </c>
      <c r="H30" s="190" t="s">
        <v>506</v>
      </c>
      <c r="I30" s="200">
        <v>120</v>
      </c>
      <c r="J30" s="290" t="s">
        <v>141</v>
      </c>
      <c r="K30" s="80"/>
      <c r="L30" s="297"/>
      <c r="M30" s="187">
        <f>SUM($M$20:$M$23)</f>
        <v>2</v>
      </c>
      <c r="N30" s="181" t="s">
        <v>506</v>
      </c>
      <c r="O30" s="180">
        <v>120</v>
      </c>
      <c r="P30" s="179" t="e">
        <f>O30*M30*$M$13</f>
        <v>#REF!</v>
      </c>
      <c r="Q30" s="185">
        <f>SUM($Q$20:$Q$23)</f>
        <v>2</v>
      </c>
      <c r="R30" s="181" t="s">
        <v>506</v>
      </c>
      <c r="S30" s="180">
        <v>120</v>
      </c>
      <c r="T30" s="179" t="e">
        <f>S30*Q30*$Q$13</f>
        <v>#REF!</v>
      </c>
    </row>
    <row r="31" spans="1:20" x14ac:dyDescent="0.25">
      <c r="A31" s="83" t="s">
        <v>438</v>
      </c>
      <c r="B31" s="125">
        <f>SUM($B$20:$B$23)</f>
        <v>4</v>
      </c>
      <c r="C31" s="190" t="s">
        <v>505</v>
      </c>
      <c r="D31" s="200">
        <v>120</v>
      </c>
      <c r="E31" s="288" t="s">
        <v>506</v>
      </c>
      <c r="F31" s="80">
        <f>D31/5</f>
        <v>24</v>
      </c>
      <c r="G31" s="125">
        <f>SUM($B$20:$B$23)</f>
        <v>4</v>
      </c>
      <c r="H31" s="190" t="s">
        <v>505</v>
      </c>
      <c r="I31" s="398">
        <v>120</v>
      </c>
      <c r="J31" s="288" t="s">
        <v>506</v>
      </c>
      <c r="K31" s="80">
        <f>I31/5</f>
        <v>24</v>
      </c>
      <c r="L31" s="297"/>
      <c r="M31" s="187">
        <f>SUM($M$20:$M$23)</f>
        <v>2</v>
      </c>
      <c r="N31" s="181" t="s">
        <v>505</v>
      </c>
      <c r="O31" s="180">
        <v>120</v>
      </c>
      <c r="P31" s="179" t="e">
        <f>O31*M31*$M$14</f>
        <v>#REF!</v>
      </c>
      <c r="Q31" s="185">
        <f>SUM($Q$20:$Q$23)</f>
        <v>2</v>
      </c>
      <c r="R31" s="181" t="s">
        <v>505</v>
      </c>
      <c r="S31" s="180">
        <v>120</v>
      </c>
      <c r="T31" s="179" t="e">
        <f>S31*Q31*$Q$14</f>
        <v>#REF!</v>
      </c>
    </row>
    <row r="32" spans="1:20" x14ac:dyDescent="0.25">
      <c r="A32" s="83" t="s">
        <v>504</v>
      </c>
      <c r="B32" s="125">
        <f>SUM($B$20:$B$23)</f>
        <v>4</v>
      </c>
      <c r="C32" s="190" t="s">
        <v>500</v>
      </c>
      <c r="D32" s="200">
        <v>2500</v>
      </c>
      <c r="E32" s="288" t="s">
        <v>506</v>
      </c>
      <c r="F32" s="80">
        <f>D32/30</f>
        <v>83.333333333333329</v>
      </c>
      <c r="G32" s="125">
        <f>SUM($B$20:$B$23)</f>
        <v>4</v>
      </c>
      <c r="H32" s="190" t="s">
        <v>500</v>
      </c>
      <c r="I32" s="200">
        <v>2500</v>
      </c>
      <c r="J32" s="288" t="s">
        <v>506</v>
      </c>
      <c r="K32" s="80">
        <f>I32/30</f>
        <v>83.333333333333329</v>
      </c>
      <c r="L32" s="297"/>
      <c r="M32" s="187">
        <f>SUM($M$20:$M$23)</f>
        <v>2</v>
      </c>
      <c r="N32" s="181" t="s">
        <v>500</v>
      </c>
      <c r="O32" s="180">
        <v>400</v>
      </c>
      <c r="P32" s="179" t="e">
        <f>O32*M32*$M$15</f>
        <v>#REF!</v>
      </c>
      <c r="Q32" s="185">
        <f>SUM($Q$20:$Q$23)</f>
        <v>2</v>
      </c>
      <c r="R32" s="181" t="s">
        <v>500</v>
      </c>
      <c r="S32" s="180">
        <v>400</v>
      </c>
      <c r="T32" s="179" t="e">
        <f>S32*Q32*$Q$15</f>
        <v>#REF!</v>
      </c>
    </row>
    <row r="33" spans="1:20" x14ac:dyDescent="0.25">
      <c r="A33" s="83" t="s">
        <v>503</v>
      </c>
      <c r="B33" s="125">
        <f>SUM($B$20:$B$23)</f>
        <v>4</v>
      </c>
      <c r="C33" s="190" t="s">
        <v>500</v>
      </c>
      <c r="D33" s="200">
        <v>350</v>
      </c>
      <c r="E33" s="288" t="s">
        <v>506</v>
      </c>
      <c r="F33" s="80">
        <f>D33/30</f>
        <v>11.666666666666666</v>
      </c>
      <c r="G33" s="125">
        <f>SUM($B$20:$B$23)</f>
        <v>4</v>
      </c>
      <c r="H33" s="190" t="s">
        <v>500</v>
      </c>
      <c r="I33" s="200">
        <v>350</v>
      </c>
      <c r="J33" s="288" t="s">
        <v>506</v>
      </c>
      <c r="K33" s="80">
        <f>I33/30</f>
        <v>11.666666666666666</v>
      </c>
      <c r="L33" s="297"/>
      <c r="M33" s="293">
        <f>SUM($M$20:$M$23)</f>
        <v>2</v>
      </c>
      <c r="N33" s="181" t="s">
        <v>500</v>
      </c>
      <c r="O33" s="180">
        <v>50</v>
      </c>
      <c r="P33" s="179" t="e">
        <f>O33*M33*$M$15</f>
        <v>#REF!</v>
      </c>
      <c r="Q33" s="185">
        <f>SUM($Q$20:$Q$23)</f>
        <v>2</v>
      </c>
      <c r="R33" s="181" t="s">
        <v>500</v>
      </c>
      <c r="S33" s="180">
        <v>50</v>
      </c>
      <c r="T33" s="179" t="e">
        <f>S33*Q33*$Q$15</f>
        <v>#REF!</v>
      </c>
    </row>
    <row r="34" spans="1:20" x14ac:dyDescent="0.25">
      <c r="A34" s="83" t="s">
        <v>502</v>
      </c>
      <c r="B34" s="199">
        <v>1</v>
      </c>
      <c r="C34" s="375" t="s">
        <v>531</v>
      </c>
      <c r="D34" s="200">
        <v>2000</v>
      </c>
      <c r="E34" s="290" t="s">
        <v>141</v>
      </c>
      <c r="F34" s="80"/>
      <c r="G34" s="199">
        <v>1</v>
      </c>
      <c r="H34" s="375" t="s">
        <v>531</v>
      </c>
      <c r="I34" s="200">
        <v>2000</v>
      </c>
      <c r="J34" s="290" t="s">
        <v>141</v>
      </c>
      <c r="K34" s="80"/>
      <c r="L34" s="297"/>
      <c r="M34" s="293">
        <v>1</v>
      </c>
      <c r="N34" s="181" t="s">
        <v>498</v>
      </c>
      <c r="O34" s="180">
        <v>2000</v>
      </c>
      <c r="P34" s="179">
        <f>O34*M34</f>
        <v>2000</v>
      </c>
      <c r="Q34" s="182">
        <v>1</v>
      </c>
      <c r="R34" s="181" t="s">
        <v>498</v>
      </c>
      <c r="S34" s="180">
        <v>2000</v>
      </c>
      <c r="T34" s="179">
        <f>S34*Q34</f>
        <v>2000</v>
      </c>
    </row>
    <row r="35" spans="1:20" x14ac:dyDescent="0.25">
      <c r="A35" s="83" t="s">
        <v>501</v>
      </c>
      <c r="B35" s="285">
        <v>1</v>
      </c>
      <c r="C35" s="190" t="s">
        <v>500</v>
      </c>
      <c r="D35" s="200">
        <v>2000</v>
      </c>
      <c r="E35" s="288" t="s">
        <v>506</v>
      </c>
      <c r="F35" s="80">
        <f>D35/30</f>
        <v>66.666666666666671</v>
      </c>
      <c r="G35" s="285">
        <v>1</v>
      </c>
      <c r="H35" s="190" t="s">
        <v>500</v>
      </c>
      <c r="I35" s="200">
        <v>2000</v>
      </c>
      <c r="J35" s="288" t="s">
        <v>506</v>
      </c>
      <c r="K35" s="80">
        <f>I35/30</f>
        <v>66.666666666666671</v>
      </c>
      <c r="L35" s="297"/>
      <c r="M35" s="294" t="e">
        <f>M15</f>
        <v>#REF!</v>
      </c>
      <c r="N35" s="181" t="s">
        <v>500</v>
      </c>
      <c r="O35" s="180">
        <v>2000</v>
      </c>
      <c r="P35" s="179" t="e">
        <f>O35*M35*$M$15</f>
        <v>#REF!</v>
      </c>
      <c r="Q35" s="183" t="e">
        <f>Q15</f>
        <v>#REF!</v>
      </c>
      <c r="R35" s="181" t="s">
        <v>500</v>
      </c>
      <c r="S35" s="180">
        <v>2000</v>
      </c>
      <c r="T35" s="179" t="e">
        <f>S35*Q35*$Q$15</f>
        <v>#REF!</v>
      </c>
    </row>
    <row r="36" spans="1:20" x14ac:dyDescent="0.25">
      <c r="A36" s="83" t="s">
        <v>499</v>
      </c>
      <c r="B36" s="199">
        <v>1</v>
      </c>
      <c r="C36" s="375" t="s">
        <v>531</v>
      </c>
      <c r="D36" s="200">
        <v>5000</v>
      </c>
      <c r="E36" s="290" t="s">
        <v>141</v>
      </c>
      <c r="F36" s="80"/>
      <c r="G36" s="199">
        <v>1</v>
      </c>
      <c r="H36" s="375" t="s">
        <v>531</v>
      </c>
      <c r="I36" s="200">
        <v>5000</v>
      </c>
      <c r="J36" s="290" t="s">
        <v>141</v>
      </c>
      <c r="K36" s="80"/>
      <c r="L36" s="297"/>
      <c r="M36" s="293">
        <v>1</v>
      </c>
      <c r="N36" s="181" t="s">
        <v>498</v>
      </c>
      <c r="O36" s="180">
        <v>5000</v>
      </c>
      <c r="P36" s="179">
        <f>O36*M36</f>
        <v>5000</v>
      </c>
      <c r="Q36" s="182">
        <v>1</v>
      </c>
      <c r="R36" s="181" t="s">
        <v>498</v>
      </c>
      <c r="S36" s="180">
        <v>5000</v>
      </c>
      <c r="T36" s="179">
        <f>S36*Q36</f>
        <v>5000</v>
      </c>
    </row>
    <row r="37" spans="1:20" x14ac:dyDescent="0.25">
      <c r="A37" s="178"/>
      <c r="B37" s="123"/>
      <c r="C37" s="93"/>
      <c r="D37" s="93"/>
      <c r="E37" s="92"/>
      <c r="F37" s="111"/>
      <c r="G37" s="123"/>
      <c r="H37" s="93"/>
      <c r="I37" s="93"/>
      <c r="J37" s="93"/>
      <c r="K37" s="111"/>
      <c r="L37" s="297"/>
      <c r="M37" s="176"/>
      <c r="N37" s="176"/>
      <c r="O37" s="176"/>
      <c r="P37" s="175" t="e">
        <f>SUM(P30:P36)</f>
        <v>#REF!</v>
      </c>
      <c r="Q37" s="177"/>
      <c r="R37" s="176"/>
      <c r="S37" s="176"/>
      <c r="T37" s="175" t="e">
        <f>SUM(T30:T36)</f>
        <v>#REF!</v>
      </c>
    </row>
    <row r="38" spans="1:20" x14ac:dyDescent="0.25">
      <c r="L38" s="297"/>
    </row>
    <row r="39" spans="1:20" x14ac:dyDescent="0.25">
      <c r="A39" s="174" t="s">
        <v>497</v>
      </c>
      <c r="B39" s="172"/>
      <c r="C39" s="286" t="s">
        <v>531</v>
      </c>
      <c r="D39" s="173">
        <f>D36+D34+F26+F27</f>
        <v>52000</v>
      </c>
      <c r="E39" s="287" t="s">
        <v>581</v>
      </c>
      <c r="F39" s="173">
        <f>SUM(D20+D21+D22+D23+D30+F31+F32+F33+F35)</f>
        <v>1705.6666666666667</v>
      </c>
      <c r="G39" s="172"/>
      <c r="H39" s="286" t="s">
        <v>531</v>
      </c>
      <c r="I39" s="173">
        <f>I36+I34+K26+K27</f>
        <v>52000</v>
      </c>
      <c r="J39" s="287" t="s">
        <v>581</v>
      </c>
      <c r="K39" s="173">
        <f>SUM(I20+I21+I22+I23+I30+K31+K32+K33+K35)</f>
        <v>1705.6666666666667</v>
      </c>
      <c r="L39" s="298"/>
      <c r="M39" s="172"/>
      <c r="N39" s="172"/>
      <c r="O39" s="172"/>
      <c r="P39" s="173" t="e">
        <f>SUM(P37,P24)</f>
        <v>#REF!</v>
      </c>
      <c r="Q39" s="172"/>
      <c r="R39" s="172"/>
      <c r="S39" s="172"/>
      <c r="T39" s="171" t="e">
        <f>SUM(T37,T24)</f>
        <v>#REF!</v>
      </c>
    </row>
  </sheetData>
  <mergeCells count="6">
    <mergeCell ref="B5:K5"/>
    <mergeCell ref="M5:T5"/>
    <mergeCell ref="B6:E6"/>
    <mergeCell ref="G6:K6"/>
    <mergeCell ref="M6:P6"/>
    <mergeCell ref="Q6:T6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6 4 U 2 V 9 L d S t G k A A A A 9 g A A A B I A H A B D b 2 5 m a W c v U G F j a 2 F n Z S 5 4 b W w g o h g A K K A U A A A A A A A A A A A A A A A A A A A A A A A A A A A A h Y 8 x D o I w G I W v Q r r T l q K J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T F b x J g C m S H k 2 n w F N u 1 9 t j 8 Q 1 k P j h l 5 x Z c J d A W S O Q N 4 f + A N Q S w M E F A A C A A g A 6 4 U 2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u F N l c o i k e 4 D g A A A B E A A A A T A B w A R m 9 y b X V s Y X M v U 2 V j d G l v b j E u b S C i G A A o o B Q A A A A A A A A A A A A A A A A A A A A A A A A A A A A r T k 0 u y c z P U w i G 0 I b W A F B L A Q I t A B Q A A g A I A O u F N l f S 3 U r R p A A A A P Y A A A A S A A A A A A A A A A A A A A A A A A A A A A B D b 2 5 m a W c v U G F j a 2 F n Z S 5 4 b W x Q S w E C L Q A U A A I A C A D r h T Z X D 8 r p q 6 Q A A A D p A A A A E w A A A A A A A A A A A A A A A A D w A A A A W 0 N v b n R l b n R f V H l w Z X N d L n h t b F B L A Q I t A B Q A A g A I A O u F N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L 8 I n U c E L V S a a 7 y D e m w b 9 O A A A A A A I A A A A A A A N m A A D A A A A A E A A A A L U K h O k i P B E z L l x x j d f C w h I A A A A A B I A A A K A A A A A Q A A A A m x k Z l r O i g c b i A D G c 0 0 A g 6 V A A A A A C 8 A H n c 6 D W b a Z k B A y w K 0 Y y 1 E R 2 4 a S B N V t 2 8 f B a z Q B 5 C Z i U h q f 0 e f V 2 o x / Q X J P X u R r e h 1 S h m S o 0 m R D d g W 6 T p 3 Y 8 a q b a P K A 7 x 3 F 7 d Q b i A x B W O R Q A A A A w e P A G l v p f j R p E V e o 6 G 2 k X G B P i n g = = < / D a t a M a s h u p > 
</file>

<file path=customXml/itemProps1.xml><?xml version="1.0" encoding="utf-8"?>
<ds:datastoreItem xmlns:ds="http://schemas.openxmlformats.org/officeDocument/2006/customXml" ds:itemID="{1C3BE2D5-E9F6-4C80-AFFA-A6AF6A6A25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Ext. Summary (Classification)</vt:lpstr>
      <vt:lpstr>Quick Summary</vt:lpstr>
      <vt:lpstr>Table</vt:lpstr>
      <vt:lpstr>PrismQC Vols</vt:lpstr>
      <vt:lpstr>Lists</vt:lpstr>
      <vt:lpstr>Sheet2</vt:lpstr>
      <vt:lpstr>Prod</vt:lpstr>
      <vt:lpstr>Labor</vt:lpstr>
      <vt:lpstr>Overhead</vt:lpstr>
      <vt:lpstr>DR-Hyd</vt:lpstr>
      <vt:lpstr>Mob-Hyd</vt:lpstr>
      <vt:lpstr>Demob-Hyd</vt:lpstr>
      <vt:lpstr>DR-Mech</vt:lpstr>
      <vt:lpstr>Mob-Mech</vt:lpstr>
      <vt:lpstr>Demob-Mech</vt:lpstr>
      <vt:lpstr>'Demob-Hyd'!Print_Area</vt:lpstr>
      <vt:lpstr>'Demob-Mech'!Print_Area</vt:lpstr>
      <vt:lpstr>'DR-Hyd'!Print_Area</vt:lpstr>
      <vt:lpstr>'DR-Mech'!Print_Area</vt:lpstr>
      <vt:lpstr>'Ext. Summary (Classification)'!Print_Area</vt:lpstr>
      <vt:lpstr>Labor!Print_Area</vt:lpstr>
      <vt:lpstr>'Mob-Hyd'!Print_Area</vt:lpstr>
      <vt:lpstr>'Mob-Mech'!Print_Area</vt:lpstr>
      <vt:lpstr>Overhead!Print_Area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Lawson;aLucey@taylorengineering.com</dc:creator>
  <cp:lastModifiedBy>Terry Cake</cp:lastModifiedBy>
  <cp:lastPrinted>2023-11-16T01:37:10Z</cp:lastPrinted>
  <dcterms:created xsi:type="dcterms:W3CDTF">2016-08-22T17:18:07Z</dcterms:created>
  <dcterms:modified xsi:type="dcterms:W3CDTF">2023-11-16T15:19:20Z</dcterms:modified>
</cp:coreProperties>
</file>